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robin.carrington\Desktop\"/>
    </mc:Choice>
  </mc:AlternateContent>
  <xr:revisionPtr revIDLastSave="0" documentId="13_ncr:1_{F9179219-02E1-46F4-8DA3-A7ABD1E169E2}" xr6:coauthVersionLast="45" xr6:coauthVersionMax="45" xr10:uidLastSave="{00000000-0000-0000-0000-000000000000}"/>
  <bookViews>
    <workbookView xWindow="-120" yWindow="-120" windowWidth="29040" windowHeight="15840" tabRatio="601" activeTab="4" xr2:uid="{00000000-000D-0000-FFFF-FFFF00000000}"/>
  </bookViews>
  <sheets>
    <sheet name="Índice" sheetId="23" r:id="rId1"/>
    <sheet name="Guía" sheetId="27" r:id="rId2"/>
    <sheet name="Definiciones" sheetId="29" r:id="rId3"/>
    <sheet name="Diagram" sheetId="48" r:id="rId4"/>
    <sheet name="W1" sheetId="46" r:id="rId5"/>
    <sheet name="W2" sheetId="47" r:id="rId6"/>
    <sheet name="W3" sheetId="41" r:id="rId7"/>
    <sheet name="W4" sheetId="40" r:id="rId8"/>
    <sheet name="W5" sheetId="28" r:id="rId9"/>
    <sheet name="W6" sheetId="44"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'W1'!$A$37:$AO$58</definedName>
    <definedName name="Foot" localSheetId="5">'W2'!$A$71:$AX$92</definedName>
    <definedName name="Foot" localSheetId="6">'W3'!$A$47:$AO$68</definedName>
    <definedName name="Foot" localSheetId="7">'W4'!$A$51:$AO$72</definedName>
    <definedName name="Foot" localSheetId="8">'W5'!$C$22:$AM$43</definedName>
    <definedName name="FootLng" localSheetId="4">'W1'!$B$34</definedName>
    <definedName name="FootLng" localSheetId="5">'W2'!$B$68</definedName>
    <definedName name="FootLng" localSheetId="6">'W3'!$B$44</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Definiciones!$B$1:$D$82</definedName>
    <definedName name="_xlnm.Print_Area" localSheetId="3">Diagram!$B$1:$X$39</definedName>
    <definedName name="_xlnm.Print_Area" localSheetId="1">Guía!$A$1:$K$71</definedName>
    <definedName name="_xlnm.Print_Area" localSheetId="0">Índice!$A$1:$L$29</definedName>
    <definedName name="_xlnm.Print_Area" localSheetId="4">'W1'!$C$1:$AZ$58</definedName>
    <definedName name="_xlnm.Print_Area" localSheetId="5">'W2'!$C$1:$AX$93</definedName>
    <definedName name="_xlnm.Print_Area" localSheetId="6">'W3'!$C$1:$AX$68</definedName>
    <definedName name="_xlnm.Print_Area" localSheetId="7">'W4'!$C$1:$AX$72</definedName>
    <definedName name="_xlnm.Print_Area" localSheetId="8">'W5'!$C$1:$AY$43</definedName>
    <definedName name="_xlnm.Print_Area" localSheetId="9">'W6'!$C$1:$P$24</definedName>
    <definedName name="_xlnm.Print_Titles" localSheetId="2">Definiciones!$16:$18</definedName>
    <definedName name="_xlnm.Print_Titles" localSheetId="3">Diagram!$1:$4</definedName>
    <definedName name="_xlnm.Print_Titles" localSheetId="1">Guía!$1:$4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10" i="46" l="1"/>
  <c r="AX12" i="46"/>
  <c r="AV10" i="46"/>
  <c r="CS21" i="46"/>
  <c r="CR23" i="28"/>
  <c r="CP23" i="28"/>
  <c r="CN23" i="28"/>
  <c r="CL23" i="28"/>
  <c r="CJ23" i="28"/>
  <c r="CH23" i="28"/>
  <c r="CF23" i="28"/>
  <c r="CD23" i="28"/>
  <c r="CB23" i="28"/>
  <c r="BZ23" i="28"/>
  <c r="BX23" i="28"/>
  <c r="BV23" i="28"/>
  <c r="BT23" i="28"/>
  <c r="BR23" i="28"/>
  <c r="BP23" i="28"/>
  <c r="BN23" i="28"/>
  <c r="BL23" i="28"/>
  <c r="BJ23" i="28"/>
  <c r="BH23" i="28"/>
  <c r="BF23" i="28"/>
  <c r="BD23" i="28"/>
  <c r="BB23" i="28"/>
  <c r="CR22" i="28"/>
  <c r="CP22" i="28"/>
  <c r="CN22" i="28"/>
  <c r="CL22" i="28"/>
  <c r="CJ22" i="28"/>
  <c r="CH22" i="28"/>
  <c r="CF22" i="28"/>
  <c r="CD22" i="28"/>
  <c r="CB22" i="28"/>
  <c r="BZ22" i="28"/>
  <c r="BX22" i="28"/>
  <c r="BV22" i="28"/>
  <c r="BT22" i="28"/>
  <c r="BR22" i="28"/>
  <c r="BP22" i="28"/>
  <c r="BN22" i="28"/>
  <c r="BL22" i="28"/>
  <c r="BJ22" i="28"/>
  <c r="BH22" i="28"/>
  <c r="BF22" i="28"/>
  <c r="BD22" i="28"/>
  <c r="BB22" i="28"/>
  <c r="CR21" i="28"/>
  <c r="CP21" i="28"/>
  <c r="CN21" i="28"/>
  <c r="CL21" i="28"/>
  <c r="CJ21" i="28"/>
  <c r="CH21" i="28"/>
  <c r="CF21" i="28"/>
  <c r="CD21" i="28"/>
  <c r="CB21" i="28"/>
  <c r="BZ21" i="28"/>
  <c r="BX21" i="28"/>
  <c r="BV21" i="28"/>
  <c r="BT21" i="28"/>
  <c r="BR21" i="28"/>
  <c r="BP21" i="28"/>
  <c r="BN21" i="28"/>
  <c r="BL21" i="28"/>
  <c r="BJ21" i="28"/>
  <c r="BH21" i="28"/>
  <c r="BF21" i="28"/>
  <c r="BD21" i="28"/>
  <c r="BB21" i="28"/>
  <c r="CR19" i="28"/>
  <c r="CP19" i="28"/>
  <c r="CN19" i="28"/>
  <c r="CL19" i="28"/>
  <c r="CJ19" i="28"/>
  <c r="CH19" i="28"/>
  <c r="CF19" i="28"/>
  <c r="CD19" i="28"/>
  <c r="CB19" i="28"/>
  <c r="BZ19" i="28"/>
  <c r="BX19" i="28"/>
  <c r="BV19" i="28"/>
  <c r="BT19" i="28"/>
  <c r="BR19" i="28"/>
  <c r="BP19" i="28"/>
  <c r="BN19" i="28"/>
  <c r="BL19" i="28"/>
  <c r="BJ19" i="28"/>
  <c r="BH19" i="28"/>
  <c r="BF19" i="28"/>
  <c r="BD19" i="28"/>
  <c r="BB19" i="28"/>
  <c r="CR18" i="28"/>
  <c r="CP18" i="28"/>
  <c r="CN18" i="28"/>
  <c r="CL18" i="28"/>
  <c r="CJ18" i="28"/>
  <c r="CH18" i="28"/>
  <c r="CF18" i="28"/>
  <c r="BR18" i="28"/>
  <c r="BP18" i="28"/>
  <c r="BN18" i="28"/>
  <c r="BL18" i="28"/>
  <c r="BJ18" i="28"/>
  <c r="BH18" i="28"/>
  <c r="BF18" i="28"/>
  <c r="BD18" i="28"/>
  <c r="BB18" i="28"/>
  <c r="CR17" i="28"/>
  <c r="CP17" i="28"/>
  <c r="CN17" i="28"/>
  <c r="CL17" i="28"/>
  <c r="CJ17" i="28"/>
  <c r="CH17" i="28"/>
  <c r="CF17" i="28"/>
  <c r="CD17" i="28"/>
  <c r="CB17" i="28"/>
  <c r="BZ17" i="28"/>
  <c r="BX17" i="28"/>
  <c r="BX18" i="28"/>
  <c r="BV17" i="28"/>
  <c r="BT17" i="28"/>
  <c r="BR17" i="28"/>
  <c r="BP17" i="28"/>
  <c r="BN17" i="28"/>
  <c r="BL17" i="28"/>
  <c r="BJ17" i="28"/>
  <c r="BH17" i="28"/>
  <c r="BF17" i="28"/>
  <c r="BD17" i="28"/>
  <c r="BB17" i="28"/>
  <c r="CR16" i="28"/>
  <c r="CP16" i="28"/>
  <c r="CN16" i="28"/>
  <c r="CL16" i="28"/>
  <c r="CJ16" i="28"/>
  <c r="CH16" i="28"/>
  <c r="CF16" i="28"/>
  <c r="CD16" i="28"/>
  <c r="CD18" i="28"/>
  <c r="CB16" i="28"/>
  <c r="CB18" i="28"/>
  <c r="BZ16" i="28"/>
  <c r="BZ18" i="28"/>
  <c r="BX16" i="28"/>
  <c r="BV16" i="28"/>
  <c r="BV18" i="28"/>
  <c r="BT16" i="28"/>
  <c r="BT18" i="28" s="1"/>
  <c r="BR16" i="28"/>
  <c r="BP16" i="28"/>
  <c r="BN16" i="28"/>
  <c r="BL16" i="28"/>
  <c r="BJ16" i="28"/>
  <c r="BH16" i="28"/>
  <c r="BF16" i="28"/>
  <c r="BD16" i="28"/>
  <c r="BB16" i="28"/>
  <c r="CR12" i="28"/>
  <c r="CP12" i="28"/>
  <c r="CN12" i="28"/>
  <c r="CL12" i="28"/>
  <c r="CJ12" i="28"/>
  <c r="CH12" i="28"/>
  <c r="CF12" i="28"/>
  <c r="CD12" i="28"/>
  <c r="CB12" i="28"/>
  <c r="BZ12" i="28"/>
  <c r="BX12" i="28"/>
  <c r="BV12" i="28"/>
  <c r="BT12" i="28"/>
  <c r="BR12" i="28"/>
  <c r="BP12" i="28"/>
  <c r="BN12" i="28"/>
  <c r="BL12" i="28"/>
  <c r="BJ12" i="28"/>
  <c r="BH12" i="28"/>
  <c r="BF12" i="28"/>
  <c r="BD12" i="28"/>
  <c r="CR11" i="28"/>
  <c r="CP11" i="28"/>
  <c r="CN11" i="28"/>
  <c r="CL11" i="28"/>
  <c r="CJ11" i="28"/>
  <c r="CH11" i="28"/>
  <c r="CF11" i="28"/>
  <c r="CD11" i="28"/>
  <c r="CB11" i="28"/>
  <c r="BZ11" i="28"/>
  <c r="BX11" i="28"/>
  <c r="BV11" i="28"/>
  <c r="BT11" i="28"/>
  <c r="BR11" i="28"/>
  <c r="BP11" i="28"/>
  <c r="BN11" i="28"/>
  <c r="BL11" i="28"/>
  <c r="BJ11" i="28"/>
  <c r="BH11" i="28"/>
  <c r="BF11" i="28"/>
  <c r="BD11" i="28"/>
  <c r="CR10" i="28"/>
  <c r="CP10" i="28"/>
  <c r="CN10" i="28"/>
  <c r="CL10" i="28"/>
  <c r="CJ10" i="28"/>
  <c r="CH10" i="28"/>
  <c r="CF10" i="28"/>
  <c r="CD10" i="28"/>
  <c r="CB10" i="28"/>
  <c r="BZ10" i="28"/>
  <c r="BX10" i="28"/>
  <c r="BV10" i="28"/>
  <c r="BT10" i="28"/>
  <c r="BR10" i="28"/>
  <c r="BP10" i="28"/>
  <c r="BN10" i="28"/>
  <c r="BL10" i="28"/>
  <c r="BJ10" i="28"/>
  <c r="BH10" i="28"/>
  <c r="BF10" i="28"/>
  <c r="BD10" i="28"/>
  <c r="CR9" i="28"/>
  <c r="CP9" i="28"/>
  <c r="CN9" i="28"/>
  <c r="CL9" i="28"/>
  <c r="CJ9" i="28"/>
  <c r="CH9" i="28"/>
  <c r="CF9" i="28"/>
  <c r="CD9" i="28"/>
  <c r="CB9" i="28"/>
  <c r="BZ9" i="28"/>
  <c r="BX9" i="28"/>
  <c r="BV9" i="28"/>
  <c r="BT9" i="28"/>
  <c r="BR9" i="28"/>
  <c r="BP9" i="28"/>
  <c r="BN9" i="28"/>
  <c r="BL9" i="28"/>
  <c r="BJ9" i="28"/>
  <c r="BH9" i="28"/>
  <c r="BF9" i="28"/>
  <c r="BD9" i="28"/>
  <c r="CR8" i="28"/>
  <c r="CP8" i="28"/>
  <c r="CN8" i="28"/>
  <c r="CL8" i="28"/>
  <c r="CJ8" i="28"/>
  <c r="CH8" i="28"/>
  <c r="CF8" i="28"/>
  <c r="CD8" i="28"/>
  <c r="CB8" i="28"/>
  <c r="BZ8" i="28"/>
  <c r="BX8" i="28"/>
  <c r="BV8" i="28"/>
  <c r="BT8" i="28"/>
  <c r="BR8" i="28"/>
  <c r="BP8" i="28"/>
  <c r="BN8" i="28"/>
  <c r="BL8" i="28"/>
  <c r="BJ8" i="28"/>
  <c r="BH8" i="28"/>
  <c r="BF8" i="28"/>
  <c r="BD8" i="28"/>
  <c r="CS47" i="40"/>
  <c r="CQ47" i="40"/>
  <c r="CO47" i="40"/>
  <c r="CM47" i="40"/>
  <c r="CK47" i="40"/>
  <c r="CI47" i="40"/>
  <c r="CG47" i="40"/>
  <c r="CE47" i="40"/>
  <c r="CC47" i="40"/>
  <c r="CA47" i="40"/>
  <c r="BY47" i="40"/>
  <c r="BW47" i="40"/>
  <c r="BU47" i="40"/>
  <c r="BS47" i="40"/>
  <c r="BQ47" i="40"/>
  <c r="BO47" i="40"/>
  <c r="BM47" i="40"/>
  <c r="BK47" i="40"/>
  <c r="BI47" i="40"/>
  <c r="BG47" i="40"/>
  <c r="BE47" i="40"/>
  <c r="BC47" i="40"/>
  <c r="CS46" i="40"/>
  <c r="CQ46" i="40"/>
  <c r="CO46" i="40"/>
  <c r="CM46" i="40"/>
  <c r="CK46" i="40"/>
  <c r="CI46" i="40"/>
  <c r="CG46" i="40"/>
  <c r="CE46" i="40"/>
  <c r="CC46" i="40"/>
  <c r="CA46" i="40"/>
  <c r="BY46" i="40"/>
  <c r="BW46" i="40"/>
  <c r="BU46" i="40"/>
  <c r="BS46" i="40"/>
  <c r="BQ46" i="40"/>
  <c r="BO46" i="40"/>
  <c r="BM46" i="40"/>
  <c r="BK46" i="40"/>
  <c r="BI46" i="40"/>
  <c r="BG46" i="40"/>
  <c r="BE46" i="40"/>
  <c r="BC46" i="40"/>
  <c r="CS44" i="40"/>
  <c r="CQ44" i="40"/>
  <c r="CO44" i="40"/>
  <c r="CM44" i="40"/>
  <c r="CK44" i="40"/>
  <c r="CI44" i="40"/>
  <c r="CG44" i="40"/>
  <c r="CE44" i="40"/>
  <c r="CC44" i="40"/>
  <c r="CA44" i="40"/>
  <c r="BY44" i="40"/>
  <c r="BW44" i="40"/>
  <c r="BU44" i="40"/>
  <c r="BS44" i="40"/>
  <c r="BQ44" i="40"/>
  <c r="BO44" i="40"/>
  <c r="BM44" i="40"/>
  <c r="BK44" i="40"/>
  <c r="BI44" i="40"/>
  <c r="BG44" i="40"/>
  <c r="BE44" i="40"/>
  <c r="BC44" i="40"/>
  <c r="CS42" i="40"/>
  <c r="CQ42" i="40"/>
  <c r="CO42" i="40"/>
  <c r="CM42" i="40"/>
  <c r="CK42" i="40"/>
  <c r="CI42" i="40"/>
  <c r="CG42" i="40"/>
  <c r="CE42" i="40"/>
  <c r="CC42" i="40"/>
  <c r="CA42" i="40"/>
  <c r="BY42" i="40"/>
  <c r="BW42" i="40"/>
  <c r="BU42" i="40"/>
  <c r="BS42" i="40"/>
  <c r="BQ42" i="40"/>
  <c r="BO42" i="40"/>
  <c r="BM42" i="40"/>
  <c r="BK42" i="40"/>
  <c r="BI42" i="40"/>
  <c r="BG42" i="40"/>
  <c r="BE42" i="40"/>
  <c r="BC42" i="40"/>
  <c r="CS40" i="40"/>
  <c r="CQ40" i="40"/>
  <c r="CO40" i="40"/>
  <c r="CM40" i="40"/>
  <c r="CK40" i="40"/>
  <c r="CI40" i="40"/>
  <c r="CG40" i="40"/>
  <c r="CE40" i="40"/>
  <c r="CC40" i="40"/>
  <c r="CA40" i="40"/>
  <c r="BY40" i="40"/>
  <c r="BW40" i="40"/>
  <c r="BU40" i="40"/>
  <c r="BS40" i="40"/>
  <c r="BQ40" i="40"/>
  <c r="BO40" i="40"/>
  <c r="BM40" i="40"/>
  <c r="BK40" i="40"/>
  <c r="BI40" i="40"/>
  <c r="BG40" i="40"/>
  <c r="BE40" i="40"/>
  <c r="BC40" i="40"/>
  <c r="CS38" i="40"/>
  <c r="CQ38" i="40"/>
  <c r="CO38" i="40"/>
  <c r="CM38" i="40"/>
  <c r="CK38" i="40"/>
  <c r="CI38" i="40"/>
  <c r="CG38" i="40"/>
  <c r="CE38" i="40"/>
  <c r="CC38" i="40"/>
  <c r="CA38" i="40"/>
  <c r="BY38" i="40"/>
  <c r="BW38" i="40"/>
  <c r="BU38" i="40"/>
  <c r="BS38" i="40"/>
  <c r="BQ38" i="40"/>
  <c r="BO38" i="40"/>
  <c r="BM38" i="40"/>
  <c r="BK38" i="40"/>
  <c r="BI38" i="40"/>
  <c r="BG38" i="40"/>
  <c r="BE38" i="40"/>
  <c r="BC38" i="40"/>
  <c r="CS36" i="40"/>
  <c r="CQ36" i="40"/>
  <c r="CO36" i="40"/>
  <c r="CM36" i="40"/>
  <c r="CK36" i="40"/>
  <c r="CI36" i="40"/>
  <c r="CG36" i="40"/>
  <c r="CE36" i="40"/>
  <c r="CC36" i="40"/>
  <c r="CA36" i="40"/>
  <c r="BY36" i="40"/>
  <c r="BW36" i="40"/>
  <c r="BU36" i="40"/>
  <c r="BS36" i="40"/>
  <c r="BQ36" i="40"/>
  <c r="BO36" i="40"/>
  <c r="BM36" i="40"/>
  <c r="BK36" i="40"/>
  <c r="BI36" i="40"/>
  <c r="BG36" i="40"/>
  <c r="BE36" i="40"/>
  <c r="BC36" i="40"/>
  <c r="CS34" i="40"/>
  <c r="CQ34" i="40"/>
  <c r="CO34" i="40"/>
  <c r="CM34" i="40"/>
  <c r="CK34" i="40"/>
  <c r="CI34" i="40"/>
  <c r="CG34" i="40"/>
  <c r="CE34" i="40"/>
  <c r="CC34" i="40"/>
  <c r="CA34" i="40"/>
  <c r="BY34" i="40"/>
  <c r="BW34" i="40"/>
  <c r="BU34" i="40"/>
  <c r="BS34" i="40"/>
  <c r="BQ34" i="40"/>
  <c r="BO34" i="40"/>
  <c r="BM34" i="40"/>
  <c r="BK34" i="40"/>
  <c r="BI34" i="40"/>
  <c r="BG34" i="40"/>
  <c r="BE34" i="40"/>
  <c r="BC34" i="40"/>
  <c r="CS33" i="40"/>
  <c r="CQ33" i="40"/>
  <c r="CO33" i="40"/>
  <c r="CM33" i="40"/>
  <c r="CK33" i="40"/>
  <c r="CI33" i="40"/>
  <c r="CG33" i="40"/>
  <c r="CE33" i="40"/>
  <c r="CC33" i="40"/>
  <c r="CA33" i="40"/>
  <c r="BY33" i="40"/>
  <c r="BW33" i="40"/>
  <c r="BU33" i="40"/>
  <c r="BS33" i="40"/>
  <c r="BQ33" i="40"/>
  <c r="BO33" i="40"/>
  <c r="BM33" i="40"/>
  <c r="BK33" i="40"/>
  <c r="BI33" i="40"/>
  <c r="BG33" i="40"/>
  <c r="BE33" i="40"/>
  <c r="BC33" i="40"/>
  <c r="CS32" i="40"/>
  <c r="CQ32" i="40"/>
  <c r="CO32" i="40"/>
  <c r="CM32" i="40"/>
  <c r="CK32" i="40"/>
  <c r="CI32" i="40"/>
  <c r="CG32" i="40"/>
  <c r="CE32" i="40"/>
  <c r="CC32" i="40"/>
  <c r="CA32" i="40"/>
  <c r="BY32" i="40"/>
  <c r="BW32" i="40"/>
  <c r="BU32" i="40"/>
  <c r="BS32" i="40"/>
  <c r="BQ32" i="40"/>
  <c r="BO32" i="40"/>
  <c r="BM32" i="40"/>
  <c r="BK32" i="40"/>
  <c r="BI32" i="40"/>
  <c r="BG32" i="40"/>
  <c r="BE32" i="40"/>
  <c r="BC32" i="40"/>
  <c r="CS31" i="40"/>
  <c r="CQ31" i="40"/>
  <c r="CO31" i="40"/>
  <c r="CM31" i="40"/>
  <c r="CK31" i="40"/>
  <c r="CI31" i="40"/>
  <c r="CG31" i="40"/>
  <c r="CE31" i="40"/>
  <c r="CC31" i="40"/>
  <c r="CA31" i="40"/>
  <c r="BY31" i="40"/>
  <c r="BW31" i="40"/>
  <c r="BU31" i="40"/>
  <c r="BS31" i="40"/>
  <c r="BQ31" i="40"/>
  <c r="BO31" i="40"/>
  <c r="BM31" i="40"/>
  <c r="BK31" i="40"/>
  <c r="BI31" i="40"/>
  <c r="BG31" i="40"/>
  <c r="BE31" i="40"/>
  <c r="BC31" i="40"/>
  <c r="CS27" i="40"/>
  <c r="CQ27" i="40"/>
  <c r="CO27" i="40"/>
  <c r="CM27" i="40"/>
  <c r="CK27" i="40"/>
  <c r="CI27" i="40"/>
  <c r="CG27" i="40"/>
  <c r="CE27" i="40"/>
  <c r="CC27" i="40"/>
  <c r="CA27" i="40"/>
  <c r="BY27" i="40"/>
  <c r="BW27" i="40"/>
  <c r="BU27" i="40"/>
  <c r="BS27" i="40"/>
  <c r="BQ27" i="40"/>
  <c r="BO27" i="40"/>
  <c r="BM27" i="40"/>
  <c r="BK27" i="40"/>
  <c r="BI27" i="40"/>
  <c r="BG27" i="40"/>
  <c r="BE27" i="40"/>
  <c r="CS26" i="40"/>
  <c r="CQ26" i="40"/>
  <c r="CO26" i="40"/>
  <c r="CM26" i="40"/>
  <c r="CK26" i="40"/>
  <c r="CI26" i="40"/>
  <c r="CG26" i="40"/>
  <c r="CE26" i="40"/>
  <c r="CC26" i="40"/>
  <c r="CA26" i="40"/>
  <c r="BY26" i="40"/>
  <c r="BW26" i="40"/>
  <c r="BU26" i="40"/>
  <c r="BS26" i="40"/>
  <c r="BQ26" i="40"/>
  <c r="BO26" i="40"/>
  <c r="BM26" i="40"/>
  <c r="BK26" i="40"/>
  <c r="BI26" i="40"/>
  <c r="BG26" i="40"/>
  <c r="BE26" i="40"/>
  <c r="CS25" i="40"/>
  <c r="CQ25" i="40"/>
  <c r="CO25" i="40"/>
  <c r="CM25" i="40"/>
  <c r="CK25" i="40"/>
  <c r="CI25" i="40"/>
  <c r="CG25" i="40"/>
  <c r="CE25" i="40"/>
  <c r="CC25" i="40"/>
  <c r="CA25" i="40"/>
  <c r="BY25" i="40"/>
  <c r="BW25" i="40"/>
  <c r="BU25" i="40"/>
  <c r="BS25" i="40"/>
  <c r="BQ25" i="40"/>
  <c r="BO25" i="40"/>
  <c r="BM25" i="40"/>
  <c r="BK25" i="40"/>
  <c r="BI25" i="40"/>
  <c r="BG25" i="40"/>
  <c r="BE25" i="40"/>
  <c r="CS24" i="40"/>
  <c r="CQ24" i="40"/>
  <c r="CO24" i="40"/>
  <c r="CM24" i="40"/>
  <c r="CK24" i="40"/>
  <c r="CI24" i="40"/>
  <c r="CG24" i="40"/>
  <c r="CE24" i="40"/>
  <c r="CC24" i="40"/>
  <c r="CA24" i="40"/>
  <c r="BY24" i="40"/>
  <c r="BW24" i="40"/>
  <c r="BU24" i="40"/>
  <c r="BS24" i="40"/>
  <c r="BQ24" i="40"/>
  <c r="BO24" i="40"/>
  <c r="BM24" i="40"/>
  <c r="BK24" i="40"/>
  <c r="BI24" i="40"/>
  <c r="BG24" i="40"/>
  <c r="BE24" i="40"/>
  <c r="CS23" i="40"/>
  <c r="CQ23" i="40"/>
  <c r="CO23" i="40"/>
  <c r="CM23" i="40"/>
  <c r="CK23" i="40"/>
  <c r="CI23" i="40"/>
  <c r="CG23" i="40"/>
  <c r="CE23" i="40"/>
  <c r="CC23" i="40"/>
  <c r="CA23" i="40"/>
  <c r="BY23" i="40"/>
  <c r="BW23" i="40"/>
  <c r="BU23" i="40"/>
  <c r="BS23" i="40"/>
  <c r="BQ23" i="40"/>
  <c r="BO23" i="40"/>
  <c r="BM23" i="40"/>
  <c r="BK23" i="40"/>
  <c r="BI23" i="40"/>
  <c r="BG23" i="40"/>
  <c r="BE23" i="40"/>
  <c r="CS22" i="40"/>
  <c r="CQ22" i="40"/>
  <c r="CO22" i="40"/>
  <c r="CM22" i="40"/>
  <c r="CK22" i="40"/>
  <c r="CI22" i="40"/>
  <c r="CG22" i="40"/>
  <c r="CE22" i="40"/>
  <c r="CC22" i="40"/>
  <c r="CA22" i="40"/>
  <c r="BY22" i="40"/>
  <c r="BW22" i="40"/>
  <c r="BU22" i="40"/>
  <c r="BS22" i="40"/>
  <c r="BQ22" i="40"/>
  <c r="BO22" i="40"/>
  <c r="BM22" i="40"/>
  <c r="BK22" i="40"/>
  <c r="BI22" i="40"/>
  <c r="BG22" i="40"/>
  <c r="BE22" i="40"/>
  <c r="CS21" i="40"/>
  <c r="CQ21" i="40"/>
  <c r="CO21" i="40"/>
  <c r="CM21" i="40"/>
  <c r="CK21" i="40"/>
  <c r="CI21" i="40"/>
  <c r="CG21" i="40"/>
  <c r="CE21" i="40"/>
  <c r="CC21" i="40"/>
  <c r="CA21" i="40"/>
  <c r="BY21" i="40"/>
  <c r="BW21" i="40"/>
  <c r="BU21" i="40"/>
  <c r="BS21" i="40"/>
  <c r="BQ21" i="40"/>
  <c r="BO21" i="40"/>
  <c r="BM21" i="40"/>
  <c r="BK21" i="40"/>
  <c r="BI21" i="40"/>
  <c r="BG21" i="40"/>
  <c r="BE21" i="40"/>
  <c r="CS20" i="40"/>
  <c r="CQ20" i="40"/>
  <c r="CO20" i="40"/>
  <c r="CM20" i="40"/>
  <c r="CK20" i="40"/>
  <c r="CI20" i="40"/>
  <c r="CG20" i="40"/>
  <c r="CE20" i="40"/>
  <c r="CC20" i="40"/>
  <c r="CA20" i="40"/>
  <c r="BY20" i="40"/>
  <c r="BW20" i="40"/>
  <c r="BU20" i="40"/>
  <c r="BS20" i="40"/>
  <c r="BQ20" i="40"/>
  <c r="BO20" i="40"/>
  <c r="BM20" i="40"/>
  <c r="BK20" i="40"/>
  <c r="BI20" i="40"/>
  <c r="BG20" i="40"/>
  <c r="BE20" i="40"/>
  <c r="CS19" i="40"/>
  <c r="CQ19" i="40"/>
  <c r="CO19" i="40"/>
  <c r="CM19" i="40"/>
  <c r="CK19" i="40"/>
  <c r="CI19" i="40"/>
  <c r="CG19" i="40"/>
  <c r="CE19" i="40"/>
  <c r="CC19" i="40"/>
  <c r="CA19" i="40"/>
  <c r="BY19" i="40"/>
  <c r="BW19" i="40"/>
  <c r="BU19" i="40"/>
  <c r="BS19" i="40"/>
  <c r="BQ19" i="40"/>
  <c r="BO19" i="40"/>
  <c r="BM19" i="40"/>
  <c r="BK19" i="40"/>
  <c r="BI19" i="40"/>
  <c r="BG19" i="40"/>
  <c r="BE19" i="40"/>
  <c r="CS18" i="40"/>
  <c r="CQ18" i="40"/>
  <c r="CO18" i="40"/>
  <c r="CM18" i="40"/>
  <c r="CK18" i="40"/>
  <c r="CI18" i="40"/>
  <c r="CG18" i="40"/>
  <c r="CE18" i="40"/>
  <c r="CC18" i="40"/>
  <c r="CA18" i="40"/>
  <c r="BY18" i="40"/>
  <c r="BW18" i="40"/>
  <c r="BU18" i="40"/>
  <c r="BS18" i="40"/>
  <c r="BQ18" i="40"/>
  <c r="BO18" i="40"/>
  <c r="BM18" i="40"/>
  <c r="BK18" i="40"/>
  <c r="BI18" i="40"/>
  <c r="BG18" i="40"/>
  <c r="BE18" i="40"/>
  <c r="CS17" i="40"/>
  <c r="CQ17" i="40"/>
  <c r="CO17" i="40"/>
  <c r="CM17" i="40"/>
  <c r="CK17" i="40"/>
  <c r="CI17" i="40"/>
  <c r="CG17" i="40"/>
  <c r="CE17" i="40"/>
  <c r="CC17" i="40"/>
  <c r="CA17" i="40"/>
  <c r="BY17" i="40"/>
  <c r="BW17" i="40"/>
  <c r="BU17" i="40"/>
  <c r="BS17" i="40"/>
  <c r="BQ17" i="40"/>
  <c r="BO17" i="40"/>
  <c r="BM17" i="40"/>
  <c r="BK17" i="40"/>
  <c r="BI17" i="40"/>
  <c r="BG17" i="40"/>
  <c r="BE17" i="40"/>
  <c r="CS16" i="40"/>
  <c r="CQ16" i="40"/>
  <c r="CO16" i="40"/>
  <c r="CM16" i="40"/>
  <c r="CK16" i="40"/>
  <c r="CI16" i="40"/>
  <c r="CG16" i="40"/>
  <c r="CE16" i="40"/>
  <c r="CC16" i="40"/>
  <c r="CA16" i="40"/>
  <c r="BY16" i="40"/>
  <c r="BW16" i="40"/>
  <c r="BU16" i="40"/>
  <c r="BS16" i="40"/>
  <c r="BQ16" i="40"/>
  <c r="BO16" i="40"/>
  <c r="BM16" i="40"/>
  <c r="BK16" i="40"/>
  <c r="BI16" i="40"/>
  <c r="BG16" i="40"/>
  <c r="BE16" i="40"/>
  <c r="CS15" i="40"/>
  <c r="CQ15" i="40"/>
  <c r="CO15" i="40"/>
  <c r="CM15" i="40"/>
  <c r="CK15" i="40"/>
  <c r="CI15" i="40"/>
  <c r="CG15" i="40"/>
  <c r="CE15" i="40"/>
  <c r="CC15" i="40"/>
  <c r="CA15" i="40"/>
  <c r="BY15" i="40"/>
  <c r="BW15" i="40"/>
  <c r="BU15" i="40"/>
  <c r="BS15" i="40"/>
  <c r="BQ15" i="40"/>
  <c r="BO15" i="40"/>
  <c r="BM15" i="40"/>
  <c r="BK15" i="40"/>
  <c r="BI15" i="40"/>
  <c r="BG15" i="40"/>
  <c r="BE15" i="40"/>
  <c r="CS14" i="40"/>
  <c r="CQ14" i="40"/>
  <c r="CO14" i="40"/>
  <c r="CM14" i="40"/>
  <c r="CK14" i="40"/>
  <c r="CI14" i="40"/>
  <c r="CG14" i="40"/>
  <c r="CE14" i="40"/>
  <c r="CC14" i="40"/>
  <c r="CA14" i="40"/>
  <c r="BY14" i="40"/>
  <c r="BW14" i="40"/>
  <c r="BU14" i="40"/>
  <c r="BS14" i="40"/>
  <c r="BQ14" i="40"/>
  <c r="BO14" i="40"/>
  <c r="BM14" i="40"/>
  <c r="BK14" i="40"/>
  <c r="BI14" i="40"/>
  <c r="BG14" i="40"/>
  <c r="BE14" i="40"/>
  <c r="CS13" i="40"/>
  <c r="CQ13" i="40"/>
  <c r="CO13" i="40"/>
  <c r="CM13" i="40"/>
  <c r="CK13" i="40"/>
  <c r="CI13" i="40"/>
  <c r="CG13" i="40"/>
  <c r="CE13" i="40"/>
  <c r="CC13" i="40"/>
  <c r="CA13" i="40"/>
  <c r="BY13" i="40"/>
  <c r="BW13" i="40"/>
  <c r="BU13" i="40"/>
  <c r="BS13" i="40"/>
  <c r="BQ13" i="40"/>
  <c r="BO13" i="40"/>
  <c r="BM13" i="40"/>
  <c r="BK13" i="40"/>
  <c r="BI13" i="40"/>
  <c r="BG13" i="40"/>
  <c r="BE13" i="40"/>
  <c r="CS12" i="40"/>
  <c r="CQ12" i="40"/>
  <c r="CO12" i="40"/>
  <c r="CM12" i="40"/>
  <c r="CK12" i="40"/>
  <c r="CI12" i="40"/>
  <c r="CG12" i="40"/>
  <c r="CE12" i="40"/>
  <c r="CC12" i="40"/>
  <c r="CA12" i="40"/>
  <c r="BY12" i="40"/>
  <c r="BW12" i="40"/>
  <c r="BU12" i="40"/>
  <c r="BS12" i="40"/>
  <c r="BQ12" i="40"/>
  <c r="BO12" i="40"/>
  <c r="BM12" i="40"/>
  <c r="BK12" i="40"/>
  <c r="BI12" i="40"/>
  <c r="BG12" i="40"/>
  <c r="BE12" i="40"/>
  <c r="CS11" i="40"/>
  <c r="CQ11" i="40"/>
  <c r="CO11" i="40"/>
  <c r="CM11" i="40"/>
  <c r="CK11" i="40"/>
  <c r="CI11" i="40"/>
  <c r="CG11" i="40"/>
  <c r="CE11" i="40"/>
  <c r="CC11" i="40"/>
  <c r="CA11" i="40"/>
  <c r="BY11" i="40"/>
  <c r="BW11" i="40"/>
  <c r="BU11" i="40"/>
  <c r="BS11" i="40"/>
  <c r="BQ11" i="40"/>
  <c r="BO11" i="40"/>
  <c r="BM11" i="40"/>
  <c r="BK11" i="40"/>
  <c r="BI11" i="40"/>
  <c r="BG11" i="40"/>
  <c r="BE11" i="40"/>
  <c r="CS10" i="40"/>
  <c r="CQ10" i="40"/>
  <c r="CO10" i="40"/>
  <c r="CM10" i="40"/>
  <c r="CK10" i="40"/>
  <c r="CI10" i="40"/>
  <c r="CG10" i="40"/>
  <c r="CE10" i="40"/>
  <c r="CC10" i="40"/>
  <c r="CA10" i="40"/>
  <c r="BY10" i="40"/>
  <c r="BW10" i="40"/>
  <c r="BU10" i="40"/>
  <c r="BS10" i="40"/>
  <c r="BQ10" i="40"/>
  <c r="BO10" i="40"/>
  <c r="BM10" i="40"/>
  <c r="BK10" i="40"/>
  <c r="BI10" i="40"/>
  <c r="BG10" i="40"/>
  <c r="BE10" i="40"/>
  <c r="CS9" i="40"/>
  <c r="CQ9" i="40"/>
  <c r="CO9" i="40"/>
  <c r="CM9" i="40"/>
  <c r="CK9" i="40"/>
  <c r="CI9" i="40"/>
  <c r="CG9" i="40"/>
  <c r="CE9" i="40"/>
  <c r="CC9" i="40"/>
  <c r="CA9" i="40"/>
  <c r="BY9" i="40"/>
  <c r="BW9" i="40"/>
  <c r="BU9" i="40"/>
  <c r="BS9" i="40"/>
  <c r="BQ9" i="40"/>
  <c r="BO9" i="40"/>
  <c r="BM9" i="40"/>
  <c r="BK9" i="40"/>
  <c r="BI9" i="40"/>
  <c r="BG9" i="40"/>
  <c r="BE9" i="40"/>
  <c r="CS8" i="40"/>
  <c r="CQ8" i="40"/>
  <c r="CO8" i="40"/>
  <c r="CM8" i="40"/>
  <c r="CK8" i="40"/>
  <c r="CI8" i="40"/>
  <c r="CG8" i="40"/>
  <c r="CE8" i="40"/>
  <c r="CC8" i="40"/>
  <c r="CA8" i="40"/>
  <c r="BY8" i="40"/>
  <c r="BW8" i="40"/>
  <c r="BU8" i="40"/>
  <c r="BS8" i="40"/>
  <c r="BQ8" i="40"/>
  <c r="BO8" i="40"/>
  <c r="BM8" i="40"/>
  <c r="BK8" i="40"/>
  <c r="BI8" i="40"/>
  <c r="BG8" i="40"/>
  <c r="BE8" i="40"/>
  <c r="CS31" i="41"/>
  <c r="CQ31" i="41"/>
  <c r="CO31" i="41"/>
  <c r="CM31" i="41"/>
  <c r="CK31" i="41"/>
  <c r="CI31" i="41"/>
  <c r="CG31" i="41"/>
  <c r="CE31" i="41"/>
  <c r="CC31" i="41"/>
  <c r="CA31" i="41"/>
  <c r="BY31" i="41"/>
  <c r="BW31" i="41"/>
  <c r="BU31" i="41"/>
  <c r="BS31" i="41"/>
  <c r="BQ31" i="41"/>
  <c r="BO31" i="41"/>
  <c r="BM31" i="41"/>
  <c r="BK31" i="41"/>
  <c r="BI31" i="41"/>
  <c r="BG31" i="41"/>
  <c r="BE31" i="41"/>
  <c r="BC31" i="41"/>
  <c r="CS30" i="41"/>
  <c r="CQ30" i="41"/>
  <c r="CO30" i="41"/>
  <c r="CM30" i="41"/>
  <c r="CK30" i="41"/>
  <c r="CI30" i="41"/>
  <c r="CG30" i="41"/>
  <c r="CE30" i="41"/>
  <c r="CC30" i="41"/>
  <c r="CA30" i="41"/>
  <c r="BY30" i="41"/>
  <c r="BW30" i="41"/>
  <c r="BU30" i="41"/>
  <c r="BS30" i="41"/>
  <c r="BQ30" i="41"/>
  <c r="BO30" i="41"/>
  <c r="BM30" i="41"/>
  <c r="BK30" i="41"/>
  <c r="BI30" i="41"/>
  <c r="BG30" i="41"/>
  <c r="BE30" i="41"/>
  <c r="BC30" i="41"/>
  <c r="CS29" i="41"/>
  <c r="CQ29" i="41"/>
  <c r="CO29" i="41"/>
  <c r="CM29" i="41"/>
  <c r="CK29" i="41"/>
  <c r="CI29" i="41"/>
  <c r="CG29" i="41"/>
  <c r="CE29" i="41"/>
  <c r="CC29" i="41"/>
  <c r="CA29" i="41"/>
  <c r="BY29" i="41"/>
  <c r="BW29" i="41"/>
  <c r="BU29" i="41"/>
  <c r="BS29" i="41"/>
  <c r="BQ29" i="41"/>
  <c r="BO29" i="41"/>
  <c r="BM29" i="41"/>
  <c r="BK29" i="41"/>
  <c r="BI29" i="41"/>
  <c r="BG29" i="41"/>
  <c r="BE29" i="41"/>
  <c r="BC29" i="41"/>
  <c r="CS28" i="41"/>
  <c r="CQ28" i="41"/>
  <c r="CO28" i="41"/>
  <c r="CM28" i="41"/>
  <c r="CK28" i="41"/>
  <c r="CI28" i="41"/>
  <c r="CG28" i="41"/>
  <c r="CE28" i="41"/>
  <c r="CC28" i="41"/>
  <c r="CA28" i="41"/>
  <c r="BY28" i="41"/>
  <c r="BW28" i="41"/>
  <c r="BU28" i="41"/>
  <c r="BS28" i="41"/>
  <c r="BQ28" i="41"/>
  <c r="BO28" i="41"/>
  <c r="BM28" i="41"/>
  <c r="BK28" i="41"/>
  <c r="BI28" i="41"/>
  <c r="BG28" i="41"/>
  <c r="BE28" i="41"/>
  <c r="BC28" i="41"/>
  <c r="CS27" i="41"/>
  <c r="CQ27" i="41"/>
  <c r="CO27" i="41"/>
  <c r="CM27" i="41"/>
  <c r="CK27" i="41"/>
  <c r="CI27" i="41"/>
  <c r="CG27" i="41"/>
  <c r="CE27" i="41"/>
  <c r="CC27" i="41"/>
  <c r="CA27" i="41"/>
  <c r="BY27" i="41"/>
  <c r="BW27" i="41"/>
  <c r="BU27" i="41"/>
  <c r="BS27" i="41"/>
  <c r="BQ27" i="41"/>
  <c r="BO27" i="41"/>
  <c r="BM27" i="41"/>
  <c r="BK27" i="41"/>
  <c r="BI27" i="41"/>
  <c r="BG27" i="41"/>
  <c r="BE27" i="41"/>
  <c r="BC27" i="41"/>
  <c r="CS26" i="41"/>
  <c r="CQ26" i="41"/>
  <c r="CO26" i="41"/>
  <c r="CM26" i="41"/>
  <c r="CK26" i="41"/>
  <c r="CI26" i="41"/>
  <c r="CG26" i="41"/>
  <c r="CE26" i="41"/>
  <c r="CC26" i="41"/>
  <c r="CA26" i="41"/>
  <c r="BY26" i="41"/>
  <c r="BW26" i="41"/>
  <c r="BU26" i="41"/>
  <c r="BS26" i="41"/>
  <c r="BQ26" i="41"/>
  <c r="BO26" i="41"/>
  <c r="BM26" i="41"/>
  <c r="BK26" i="41"/>
  <c r="BI26" i="41"/>
  <c r="BG26" i="41"/>
  <c r="BE26" i="41"/>
  <c r="BC26" i="41"/>
  <c r="CS23" i="41"/>
  <c r="CQ23" i="41"/>
  <c r="CO23" i="41"/>
  <c r="CM23" i="41"/>
  <c r="CK23" i="41"/>
  <c r="CI23" i="41"/>
  <c r="CG23" i="41"/>
  <c r="CE23" i="41"/>
  <c r="CC23" i="41"/>
  <c r="CA23" i="41"/>
  <c r="BY23" i="41"/>
  <c r="BW23" i="41"/>
  <c r="BU23" i="41"/>
  <c r="BS23" i="41"/>
  <c r="BQ23" i="41"/>
  <c r="BO23" i="41"/>
  <c r="BM23" i="41"/>
  <c r="BK23" i="41"/>
  <c r="BI23" i="41"/>
  <c r="BG23" i="41"/>
  <c r="BE23" i="41"/>
  <c r="CS22" i="41"/>
  <c r="CQ22" i="41"/>
  <c r="CO22" i="41"/>
  <c r="CM22" i="41"/>
  <c r="CK22" i="41"/>
  <c r="CI22" i="41"/>
  <c r="CG22" i="41"/>
  <c r="CE22" i="41"/>
  <c r="CC22" i="41"/>
  <c r="CA22" i="41"/>
  <c r="BY22" i="41"/>
  <c r="BW22" i="41"/>
  <c r="BU22" i="41"/>
  <c r="BS22" i="41"/>
  <c r="BQ22" i="41"/>
  <c r="BO22" i="41"/>
  <c r="BM22" i="41"/>
  <c r="BK22" i="41"/>
  <c r="BI22" i="41"/>
  <c r="BG22" i="41"/>
  <c r="BE22" i="41"/>
  <c r="CS21" i="41"/>
  <c r="CQ21" i="41"/>
  <c r="CO21" i="41"/>
  <c r="CM21" i="41"/>
  <c r="CK21" i="41"/>
  <c r="CI21" i="41"/>
  <c r="CG21" i="41"/>
  <c r="CE21" i="41"/>
  <c r="CC21" i="41"/>
  <c r="CA21" i="41"/>
  <c r="BY21" i="41"/>
  <c r="BW21" i="41"/>
  <c r="BU21" i="41"/>
  <c r="BS21" i="41"/>
  <c r="BQ21" i="41"/>
  <c r="BO21" i="41"/>
  <c r="BM21" i="41"/>
  <c r="BK21" i="41"/>
  <c r="BI21" i="41"/>
  <c r="BG21" i="41"/>
  <c r="BE21" i="41"/>
  <c r="CS19" i="41"/>
  <c r="CQ19" i="41"/>
  <c r="CO19" i="41"/>
  <c r="CM19" i="41"/>
  <c r="CK19" i="41"/>
  <c r="CI19" i="41"/>
  <c r="CG19" i="41"/>
  <c r="CE19" i="41"/>
  <c r="CC19" i="41"/>
  <c r="CA19" i="41"/>
  <c r="BY19" i="41"/>
  <c r="BW19" i="41"/>
  <c r="BU19" i="41"/>
  <c r="BS19" i="41"/>
  <c r="BQ19" i="41"/>
  <c r="BO19" i="41"/>
  <c r="BM19" i="41"/>
  <c r="BK19" i="41"/>
  <c r="BI19" i="41"/>
  <c r="BG19" i="41"/>
  <c r="BE19" i="41"/>
  <c r="CS18" i="41"/>
  <c r="CQ18" i="41"/>
  <c r="CO18" i="41"/>
  <c r="CM18" i="41"/>
  <c r="CK18" i="41"/>
  <c r="CI18" i="41"/>
  <c r="CG18" i="41"/>
  <c r="CE18" i="41"/>
  <c r="CC18" i="41"/>
  <c r="CA18" i="41"/>
  <c r="BY18" i="41"/>
  <c r="BW18" i="41"/>
  <c r="BU18" i="41"/>
  <c r="BS18" i="41"/>
  <c r="BQ18" i="41"/>
  <c r="BO18" i="41"/>
  <c r="BM18" i="41"/>
  <c r="BK18" i="41"/>
  <c r="BI18" i="41"/>
  <c r="BG18" i="41"/>
  <c r="BE18" i="41"/>
  <c r="CS17" i="41"/>
  <c r="CQ17" i="41"/>
  <c r="CO17" i="41"/>
  <c r="CM17" i="41"/>
  <c r="CK17" i="41"/>
  <c r="CI17" i="41"/>
  <c r="CG17" i="41"/>
  <c r="CE17" i="41"/>
  <c r="CC17" i="41"/>
  <c r="CA17" i="41"/>
  <c r="BY17" i="41"/>
  <c r="BW17" i="41"/>
  <c r="BU17" i="41"/>
  <c r="BS17" i="41"/>
  <c r="BQ17" i="41"/>
  <c r="BO17" i="41"/>
  <c r="BM17" i="41"/>
  <c r="BK17" i="41"/>
  <c r="BI17" i="41"/>
  <c r="BG17" i="41"/>
  <c r="BE17" i="41"/>
  <c r="CS16" i="41"/>
  <c r="CQ16" i="41"/>
  <c r="CO16" i="41"/>
  <c r="CM16" i="41"/>
  <c r="CK16" i="41"/>
  <c r="CI16" i="41"/>
  <c r="CG16" i="41"/>
  <c r="CE16" i="41"/>
  <c r="CC16" i="41"/>
  <c r="CA16" i="41"/>
  <c r="BY16" i="41"/>
  <c r="BW16" i="41"/>
  <c r="BU16" i="41"/>
  <c r="BS16" i="41"/>
  <c r="BQ16" i="41"/>
  <c r="BO16" i="41"/>
  <c r="BM16" i="41"/>
  <c r="BK16" i="41"/>
  <c r="BI16" i="41"/>
  <c r="BG16" i="41"/>
  <c r="BE16" i="41"/>
  <c r="CS15" i="41"/>
  <c r="CQ15" i="41"/>
  <c r="CO15" i="41"/>
  <c r="CM15" i="41"/>
  <c r="CK15" i="41"/>
  <c r="CI15" i="41"/>
  <c r="CG15" i="41"/>
  <c r="CE15" i="41"/>
  <c r="CC15" i="41"/>
  <c r="CA15" i="41"/>
  <c r="BY15" i="41"/>
  <c r="BW15" i="41"/>
  <c r="BU15" i="41"/>
  <c r="BS15" i="41"/>
  <c r="BQ15" i="41"/>
  <c r="BO15" i="41"/>
  <c r="BM15" i="41"/>
  <c r="BK15" i="41"/>
  <c r="BI15" i="41"/>
  <c r="BG15" i="41"/>
  <c r="BE15" i="41"/>
  <c r="CS14" i="41"/>
  <c r="CQ14" i="41"/>
  <c r="CO14" i="41"/>
  <c r="CM14" i="41"/>
  <c r="CK14" i="41"/>
  <c r="CI14" i="41"/>
  <c r="CG14" i="41"/>
  <c r="CE14" i="41"/>
  <c r="CC14" i="41"/>
  <c r="CA14" i="41"/>
  <c r="BY14" i="41"/>
  <c r="BW14" i="41"/>
  <c r="BU14" i="41"/>
  <c r="BS14" i="41"/>
  <c r="BQ14" i="41"/>
  <c r="BO14" i="41"/>
  <c r="BM14" i="41"/>
  <c r="BK14" i="41"/>
  <c r="BI14" i="41"/>
  <c r="BG14" i="41"/>
  <c r="BE14" i="41"/>
  <c r="CS13" i="41"/>
  <c r="CQ13" i="41"/>
  <c r="CO13" i="41"/>
  <c r="CM13" i="41"/>
  <c r="CK13" i="41"/>
  <c r="CI13" i="41"/>
  <c r="CG13" i="41"/>
  <c r="CE13" i="41"/>
  <c r="CC13" i="41"/>
  <c r="CA13" i="41"/>
  <c r="BY13" i="41"/>
  <c r="BW13" i="41"/>
  <c r="BU13" i="41"/>
  <c r="BS13" i="41"/>
  <c r="BQ13" i="41"/>
  <c r="BO13" i="41"/>
  <c r="BM13" i="41"/>
  <c r="BK13" i="41"/>
  <c r="BI13" i="41"/>
  <c r="BG13" i="41"/>
  <c r="BE13" i="41"/>
  <c r="CS12" i="41"/>
  <c r="CQ12" i="41"/>
  <c r="CO12" i="41"/>
  <c r="CM12" i="41"/>
  <c r="CK12" i="41"/>
  <c r="CI12" i="41"/>
  <c r="CG12" i="41"/>
  <c r="CE12" i="41"/>
  <c r="CC12" i="41"/>
  <c r="CA12" i="41"/>
  <c r="BY12" i="41"/>
  <c r="BW12" i="41"/>
  <c r="BU12" i="41"/>
  <c r="BS12" i="41"/>
  <c r="BQ12" i="41"/>
  <c r="BO12" i="41"/>
  <c r="BM12" i="41"/>
  <c r="BK12" i="41"/>
  <c r="BI12" i="41"/>
  <c r="BG12" i="41"/>
  <c r="BE12" i="41"/>
  <c r="CS10" i="41"/>
  <c r="CQ10" i="41"/>
  <c r="CO10" i="41"/>
  <c r="CM10" i="41"/>
  <c r="CK10" i="41"/>
  <c r="CI10" i="41"/>
  <c r="CG10" i="41"/>
  <c r="CE10" i="41"/>
  <c r="CC10" i="41"/>
  <c r="CA10" i="41"/>
  <c r="BY10" i="41"/>
  <c r="BW10" i="41"/>
  <c r="BU10" i="41"/>
  <c r="BS10" i="41"/>
  <c r="BQ10" i="41"/>
  <c r="BO10" i="41"/>
  <c r="BM10" i="41"/>
  <c r="BK10" i="41"/>
  <c r="BI10" i="41"/>
  <c r="BG10" i="41"/>
  <c r="BE10" i="41"/>
  <c r="CS9" i="41"/>
  <c r="CQ9" i="41"/>
  <c r="CO9" i="41"/>
  <c r="CM9" i="41"/>
  <c r="CK9" i="41"/>
  <c r="CI9" i="41"/>
  <c r="CG9" i="41"/>
  <c r="CE9" i="41"/>
  <c r="CC9" i="41"/>
  <c r="CA9" i="41"/>
  <c r="BY9" i="41"/>
  <c r="BW9" i="41"/>
  <c r="BU9" i="41"/>
  <c r="BS9" i="41"/>
  <c r="BQ9" i="41"/>
  <c r="BO9" i="41"/>
  <c r="BM9" i="41"/>
  <c r="BK9" i="41"/>
  <c r="BI9" i="41"/>
  <c r="BG9" i="41"/>
  <c r="BE9" i="41"/>
  <c r="CS8" i="41"/>
  <c r="CQ8" i="41"/>
  <c r="CO8" i="41"/>
  <c r="CM8" i="41"/>
  <c r="CK8" i="41"/>
  <c r="CI8" i="41"/>
  <c r="CG8" i="41"/>
  <c r="CE8" i="41"/>
  <c r="CC8" i="41"/>
  <c r="CA8" i="41"/>
  <c r="BY8" i="41"/>
  <c r="BW8" i="41"/>
  <c r="BU8" i="41"/>
  <c r="BS8" i="41"/>
  <c r="BQ8" i="41"/>
  <c r="BO8" i="41"/>
  <c r="BM8" i="41"/>
  <c r="BK8" i="41"/>
  <c r="BI8" i="41"/>
  <c r="BG8" i="41"/>
  <c r="BE8" i="41"/>
  <c r="CS57" i="47"/>
  <c r="CQ57" i="47"/>
  <c r="CO57" i="47"/>
  <c r="CM57" i="47"/>
  <c r="CK57" i="47"/>
  <c r="CI57" i="47"/>
  <c r="CG57" i="47"/>
  <c r="CE57" i="47"/>
  <c r="CC57" i="47"/>
  <c r="CA57" i="47"/>
  <c r="BY57" i="47"/>
  <c r="BW57" i="47"/>
  <c r="BU57" i="47"/>
  <c r="BS57" i="47"/>
  <c r="BQ57" i="47"/>
  <c r="BO57" i="47"/>
  <c r="BM57" i="47"/>
  <c r="BK57" i="47"/>
  <c r="BI57" i="47"/>
  <c r="BG57" i="47"/>
  <c r="BE57" i="47"/>
  <c r="BC57" i="47"/>
  <c r="CS56" i="47"/>
  <c r="CQ56" i="47"/>
  <c r="CO56" i="47"/>
  <c r="CM56" i="47"/>
  <c r="CK56" i="47"/>
  <c r="CI56" i="47"/>
  <c r="CG56" i="47"/>
  <c r="CE56" i="47"/>
  <c r="CC56" i="47"/>
  <c r="CA56" i="47"/>
  <c r="BY56" i="47"/>
  <c r="BW56" i="47"/>
  <c r="BU56" i="47"/>
  <c r="BS56" i="47"/>
  <c r="BQ56" i="47"/>
  <c r="BO56" i="47"/>
  <c r="BM56" i="47"/>
  <c r="BK56" i="47"/>
  <c r="BI56" i="47"/>
  <c r="BG56" i="47"/>
  <c r="BE56" i="47"/>
  <c r="BC56" i="47"/>
  <c r="CS55" i="47"/>
  <c r="CQ55" i="47"/>
  <c r="CO55" i="47"/>
  <c r="CM55" i="47"/>
  <c r="CK55" i="47"/>
  <c r="CI55" i="47"/>
  <c r="CG55" i="47"/>
  <c r="CE55" i="47"/>
  <c r="CC55" i="47"/>
  <c r="CA55" i="47"/>
  <c r="BY55" i="47"/>
  <c r="BW55" i="47"/>
  <c r="BU55" i="47"/>
  <c r="BS55" i="47"/>
  <c r="BQ55" i="47"/>
  <c r="BO55" i="47"/>
  <c r="BM55" i="47"/>
  <c r="BK55" i="47"/>
  <c r="BI55" i="47"/>
  <c r="BG55" i="47"/>
  <c r="BE55" i="47"/>
  <c r="BC55" i="47"/>
  <c r="CS54" i="47"/>
  <c r="CQ54" i="47"/>
  <c r="CO54" i="47"/>
  <c r="CM54" i="47"/>
  <c r="CK54" i="47"/>
  <c r="CI54" i="47"/>
  <c r="CG54" i="47"/>
  <c r="CE54" i="47"/>
  <c r="CC54" i="47"/>
  <c r="CA54" i="47"/>
  <c r="BY54" i="47"/>
  <c r="BW54" i="47"/>
  <c r="BU54" i="47"/>
  <c r="BS54" i="47"/>
  <c r="BQ54" i="47"/>
  <c r="BO54" i="47"/>
  <c r="BM54" i="47"/>
  <c r="BK54" i="47"/>
  <c r="BI54" i="47"/>
  <c r="BG54" i="47"/>
  <c r="BE54" i="47"/>
  <c r="BC54" i="47"/>
  <c r="CS53" i="47"/>
  <c r="CQ53" i="47"/>
  <c r="CO53" i="47"/>
  <c r="CM53" i="47"/>
  <c r="CK53" i="47"/>
  <c r="CI53" i="47"/>
  <c r="CG53" i="47"/>
  <c r="CE53" i="47"/>
  <c r="CC53" i="47"/>
  <c r="CA53" i="47"/>
  <c r="BY53" i="47"/>
  <c r="BW53" i="47"/>
  <c r="BU53" i="47"/>
  <c r="BS53" i="47"/>
  <c r="BQ53" i="47"/>
  <c r="BO53" i="47"/>
  <c r="BM53" i="47"/>
  <c r="BK53" i="47"/>
  <c r="BI53" i="47"/>
  <c r="BG53" i="47"/>
  <c r="BE53" i="47"/>
  <c r="BC53" i="47"/>
  <c r="CS52" i="47"/>
  <c r="CQ52" i="47"/>
  <c r="CO52" i="47"/>
  <c r="CM52" i="47"/>
  <c r="CK52" i="47"/>
  <c r="CI52" i="47"/>
  <c r="CG52" i="47"/>
  <c r="CE52" i="47"/>
  <c r="CC52" i="47"/>
  <c r="CA52" i="47"/>
  <c r="BY52" i="47"/>
  <c r="BW52" i="47"/>
  <c r="BU52" i="47"/>
  <c r="BS52" i="47"/>
  <c r="BQ52" i="47"/>
  <c r="BO52" i="47"/>
  <c r="BM52" i="47"/>
  <c r="BK52" i="47"/>
  <c r="BI52" i="47"/>
  <c r="BG52" i="47"/>
  <c r="BE52" i="47"/>
  <c r="BC52" i="47"/>
  <c r="CS51" i="47"/>
  <c r="CQ51" i="47"/>
  <c r="CO51" i="47"/>
  <c r="CM51" i="47"/>
  <c r="CK51" i="47"/>
  <c r="CI51" i="47"/>
  <c r="CG51" i="47"/>
  <c r="CE51" i="47"/>
  <c r="CC51" i="47"/>
  <c r="CA51" i="47"/>
  <c r="BY51" i="47"/>
  <c r="BW51" i="47"/>
  <c r="BU51" i="47"/>
  <c r="BS51" i="47"/>
  <c r="BQ51" i="47"/>
  <c r="BO51" i="47"/>
  <c r="BM51" i="47"/>
  <c r="BK51" i="47"/>
  <c r="BI51" i="47"/>
  <c r="BE51" i="47"/>
  <c r="BC51" i="47"/>
  <c r="CS50" i="47"/>
  <c r="CQ50" i="47"/>
  <c r="CO50" i="47"/>
  <c r="CM50" i="47"/>
  <c r="CK50" i="47"/>
  <c r="CI50" i="47"/>
  <c r="CG50" i="47"/>
  <c r="CE50" i="47"/>
  <c r="CC50" i="47"/>
  <c r="CA50" i="47"/>
  <c r="BY50" i="47"/>
  <c r="BW50" i="47"/>
  <c r="BU50" i="47"/>
  <c r="BS50" i="47"/>
  <c r="BQ50" i="47"/>
  <c r="BO50" i="47"/>
  <c r="BM50" i="47"/>
  <c r="BK50" i="47"/>
  <c r="BI50" i="47"/>
  <c r="BG50" i="47"/>
  <c r="BE50" i="47"/>
  <c r="BC50" i="47"/>
  <c r="CS49" i="47"/>
  <c r="CQ49" i="47"/>
  <c r="CO49" i="47"/>
  <c r="CM49" i="47"/>
  <c r="CK49" i="47"/>
  <c r="CI49" i="47"/>
  <c r="CG49" i="47"/>
  <c r="CE49" i="47"/>
  <c r="CC49" i="47"/>
  <c r="CA49" i="47"/>
  <c r="BY49" i="47"/>
  <c r="BW49" i="47"/>
  <c r="BU49" i="47"/>
  <c r="BS49" i="47"/>
  <c r="BQ49" i="47"/>
  <c r="BO49" i="47"/>
  <c r="BM49" i="47"/>
  <c r="BK49" i="47"/>
  <c r="BI49" i="47"/>
  <c r="BG49" i="47"/>
  <c r="BG51" i="47"/>
  <c r="BE49" i="47"/>
  <c r="BC49" i="47"/>
  <c r="CS48" i="47"/>
  <c r="CQ48" i="47"/>
  <c r="CO48" i="47"/>
  <c r="CM48" i="47"/>
  <c r="CK48" i="47"/>
  <c r="CI48" i="47"/>
  <c r="CG48" i="47"/>
  <c r="CE48" i="47"/>
  <c r="CC48" i="47"/>
  <c r="CA48" i="47"/>
  <c r="BY48" i="47"/>
  <c r="BW48" i="47"/>
  <c r="BU48" i="47"/>
  <c r="BS48" i="47"/>
  <c r="BQ48" i="47"/>
  <c r="BO48" i="47"/>
  <c r="BM48" i="47"/>
  <c r="BK48" i="47"/>
  <c r="BI48" i="47"/>
  <c r="BG48" i="47"/>
  <c r="BE48" i="47"/>
  <c r="CS47" i="47"/>
  <c r="CQ47" i="47"/>
  <c r="CO47" i="47"/>
  <c r="CM47" i="47"/>
  <c r="CK47" i="47"/>
  <c r="CI47" i="47"/>
  <c r="CG47" i="47"/>
  <c r="CE47" i="47"/>
  <c r="CC47" i="47"/>
  <c r="CA47" i="47"/>
  <c r="BY47" i="47"/>
  <c r="BW47" i="47"/>
  <c r="BU47" i="47"/>
  <c r="BS47" i="47"/>
  <c r="BQ47" i="47"/>
  <c r="BO47" i="47"/>
  <c r="BM47" i="47"/>
  <c r="BK47" i="47"/>
  <c r="BI47" i="47"/>
  <c r="BG47" i="47"/>
  <c r="BE47" i="47"/>
  <c r="BC47" i="47"/>
  <c r="CS46" i="47"/>
  <c r="CQ46" i="47"/>
  <c r="CO46" i="47"/>
  <c r="CM46" i="47"/>
  <c r="CK46" i="47"/>
  <c r="CI46" i="47"/>
  <c r="CG46" i="47"/>
  <c r="CE46" i="47"/>
  <c r="CC46" i="47"/>
  <c r="CA46" i="47"/>
  <c r="BY46" i="47"/>
  <c r="BW46" i="47"/>
  <c r="BU46" i="47"/>
  <c r="BS46" i="47"/>
  <c r="BQ46" i="47"/>
  <c r="BO46" i="47"/>
  <c r="BM46" i="47"/>
  <c r="BK46" i="47"/>
  <c r="BI46" i="47"/>
  <c r="BG46" i="47"/>
  <c r="BE46" i="47"/>
  <c r="BC46" i="47"/>
  <c r="BC48" i="47"/>
  <c r="CS40" i="47"/>
  <c r="CQ40" i="47"/>
  <c r="CO40" i="47"/>
  <c r="CM40" i="47"/>
  <c r="CK40" i="47"/>
  <c r="CI40" i="47"/>
  <c r="CG40" i="47"/>
  <c r="CE40" i="47"/>
  <c r="CC40" i="47"/>
  <c r="CA40" i="47"/>
  <c r="BY40" i="47"/>
  <c r="BW40" i="47"/>
  <c r="BU40" i="47"/>
  <c r="BS40" i="47"/>
  <c r="BQ40" i="47"/>
  <c r="BO40" i="47"/>
  <c r="BM40" i="47"/>
  <c r="BK40" i="47"/>
  <c r="BI40" i="47"/>
  <c r="BG40" i="47"/>
  <c r="BE40" i="47"/>
  <c r="CS39" i="47"/>
  <c r="CQ39" i="47"/>
  <c r="CO39" i="47"/>
  <c r="CM39" i="47"/>
  <c r="CK39" i="47"/>
  <c r="CI39" i="47"/>
  <c r="CG39" i="47"/>
  <c r="CE39" i="47"/>
  <c r="CC39" i="47"/>
  <c r="CA39" i="47"/>
  <c r="BY39" i="47"/>
  <c r="BW39" i="47"/>
  <c r="BU39" i="47"/>
  <c r="BS39" i="47"/>
  <c r="BQ39" i="47"/>
  <c r="BO39" i="47"/>
  <c r="BM39" i="47"/>
  <c r="BK39" i="47"/>
  <c r="BI39" i="47"/>
  <c r="BG39" i="47"/>
  <c r="BE39" i="47"/>
  <c r="CS38" i="47"/>
  <c r="CQ38" i="47"/>
  <c r="CO38" i="47"/>
  <c r="CM38" i="47"/>
  <c r="CK38" i="47"/>
  <c r="CI38" i="47"/>
  <c r="CG38" i="47"/>
  <c r="CE38" i="47"/>
  <c r="CC38" i="47"/>
  <c r="CA38" i="47"/>
  <c r="BY38" i="47"/>
  <c r="BW38" i="47"/>
  <c r="BU38" i="47"/>
  <c r="BS38" i="47"/>
  <c r="BQ38" i="47"/>
  <c r="BO38" i="47"/>
  <c r="BM38" i="47"/>
  <c r="BK38" i="47"/>
  <c r="BI38" i="47"/>
  <c r="BG38" i="47"/>
  <c r="BE38" i="47"/>
  <c r="CS37" i="47"/>
  <c r="CQ37" i="47"/>
  <c r="CO37" i="47"/>
  <c r="CM37" i="47"/>
  <c r="CK37" i="47"/>
  <c r="CI37" i="47"/>
  <c r="CG37" i="47"/>
  <c r="CE37" i="47"/>
  <c r="CC37" i="47"/>
  <c r="CA37" i="47"/>
  <c r="BY37" i="47"/>
  <c r="BW37" i="47"/>
  <c r="BU37" i="47"/>
  <c r="BS37" i="47"/>
  <c r="BQ37" i="47"/>
  <c r="BO37" i="47"/>
  <c r="BM37" i="47"/>
  <c r="BK37" i="47"/>
  <c r="BI37" i="47"/>
  <c r="BG37" i="47"/>
  <c r="BE37" i="47"/>
  <c r="CS36" i="47"/>
  <c r="CQ36" i="47"/>
  <c r="CO36" i="47"/>
  <c r="CM36" i="47"/>
  <c r="CK36" i="47"/>
  <c r="CI36" i="47"/>
  <c r="CG36" i="47"/>
  <c r="CE36" i="47"/>
  <c r="CC36" i="47"/>
  <c r="CA36" i="47"/>
  <c r="BY36" i="47"/>
  <c r="BW36" i="47"/>
  <c r="BU36" i="47"/>
  <c r="BS36" i="47"/>
  <c r="BQ36" i="47"/>
  <c r="BO36" i="47"/>
  <c r="BM36" i="47"/>
  <c r="BK36" i="47"/>
  <c r="BI36" i="47"/>
  <c r="BG36" i="47"/>
  <c r="BE36" i="47"/>
  <c r="CS35" i="47"/>
  <c r="CQ35" i="47"/>
  <c r="CO35" i="47"/>
  <c r="CM35" i="47"/>
  <c r="CK35" i="47"/>
  <c r="CI35" i="47"/>
  <c r="CG35" i="47"/>
  <c r="CE35" i="47"/>
  <c r="CC35" i="47"/>
  <c r="CA35" i="47"/>
  <c r="BY35" i="47"/>
  <c r="BW35" i="47"/>
  <c r="BU35" i="47"/>
  <c r="BS35" i="47"/>
  <c r="BQ35" i="47"/>
  <c r="BO35" i="47"/>
  <c r="BM35" i="47"/>
  <c r="BK35" i="47"/>
  <c r="BI35" i="47"/>
  <c r="BG35" i="47"/>
  <c r="BE35" i="47"/>
  <c r="CS34" i="47"/>
  <c r="CQ34" i="47"/>
  <c r="CO34" i="47"/>
  <c r="CM34" i="47"/>
  <c r="CK34" i="47"/>
  <c r="CI34" i="47"/>
  <c r="CG34" i="47"/>
  <c r="CE34" i="47"/>
  <c r="CC34" i="47"/>
  <c r="CA34" i="47"/>
  <c r="BY34" i="47"/>
  <c r="BW34" i="47"/>
  <c r="BU34" i="47"/>
  <c r="BS34" i="47"/>
  <c r="BQ34" i="47"/>
  <c r="BO34" i="47"/>
  <c r="BM34" i="47"/>
  <c r="BK34" i="47"/>
  <c r="BI34" i="47"/>
  <c r="BG34" i="47"/>
  <c r="BE34" i="47"/>
  <c r="CS33" i="47"/>
  <c r="CQ33" i="47"/>
  <c r="CO33" i="47"/>
  <c r="CM33" i="47"/>
  <c r="CK33" i="47"/>
  <c r="CI33" i="47"/>
  <c r="CG33" i="47"/>
  <c r="CE33" i="47"/>
  <c r="CC33" i="47"/>
  <c r="CA33" i="47"/>
  <c r="BY33" i="47"/>
  <c r="BW33" i="47"/>
  <c r="BU33" i="47"/>
  <c r="BS33" i="47"/>
  <c r="BQ33" i="47"/>
  <c r="BO33" i="47"/>
  <c r="BM33" i="47"/>
  <c r="BK33" i="47"/>
  <c r="BI33" i="47"/>
  <c r="BG33" i="47"/>
  <c r="BE33" i="47"/>
  <c r="CS32" i="47"/>
  <c r="CQ32" i="47"/>
  <c r="CO32" i="47"/>
  <c r="CM32" i="47"/>
  <c r="CK32" i="47"/>
  <c r="CI32" i="47"/>
  <c r="CG32" i="47"/>
  <c r="CE32" i="47"/>
  <c r="CC32" i="47"/>
  <c r="CA32" i="47"/>
  <c r="BY32" i="47"/>
  <c r="BW32" i="47"/>
  <c r="BU32" i="47"/>
  <c r="BS32" i="47"/>
  <c r="BQ32" i="47"/>
  <c r="BO32" i="47"/>
  <c r="BM32" i="47"/>
  <c r="BK32" i="47"/>
  <c r="BI32" i="47"/>
  <c r="BG32" i="47"/>
  <c r="BE32" i="47"/>
  <c r="CS31" i="47"/>
  <c r="CQ31" i="47"/>
  <c r="CO31" i="47"/>
  <c r="CM31" i="47"/>
  <c r="CK31" i="47"/>
  <c r="CI31" i="47"/>
  <c r="CG31" i="47"/>
  <c r="CE31" i="47"/>
  <c r="CC31" i="47"/>
  <c r="CA31" i="47"/>
  <c r="BY31" i="47"/>
  <c r="BW31" i="47"/>
  <c r="BU31" i="47"/>
  <c r="BS31" i="47"/>
  <c r="BQ31" i="47"/>
  <c r="BO31" i="47"/>
  <c r="BM31" i="47"/>
  <c r="BK31" i="47"/>
  <c r="BI31" i="47"/>
  <c r="BG31" i="47"/>
  <c r="CS30" i="47"/>
  <c r="CQ30" i="47"/>
  <c r="CO30" i="47"/>
  <c r="CM30" i="47"/>
  <c r="CK30" i="47"/>
  <c r="CI30" i="47"/>
  <c r="CG30" i="47"/>
  <c r="CE30" i="47"/>
  <c r="CC30" i="47"/>
  <c r="CA30" i="47"/>
  <c r="BY30" i="47"/>
  <c r="BW30" i="47"/>
  <c r="BU30" i="47"/>
  <c r="BS30" i="47"/>
  <c r="BQ30" i="47"/>
  <c r="BO30" i="47"/>
  <c r="BM30" i="47"/>
  <c r="BK30" i="47"/>
  <c r="BI30" i="47"/>
  <c r="BG30" i="47"/>
  <c r="BE30" i="47"/>
  <c r="CS29" i="47"/>
  <c r="CQ29" i="47"/>
  <c r="CO29" i="47"/>
  <c r="CM29" i="47"/>
  <c r="CK29" i="47"/>
  <c r="CI29" i="47"/>
  <c r="CG29" i="47"/>
  <c r="CE29" i="47"/>
  <c r="CC29" i="47"/>
  <c r="CA29" i="47"/>
  <c r="BY29" i="47"/>
  <c r="BW29" i="47"/>
  <c r="BU29" i="47"/>
  <c r="BS29" i="47"/>
  <c r="BQ29" i="47"/>
  <c r="BO29" i="47"/>
  <c r="BM29" i="47"/>
  <c r="BK29" i="47"/>
  <c r="BI29" i="47"/>
  <c r="BG29" i="47"/>
  <c r="BE29" i="47"/>
  <c r="CS28" i="47"/>
  <c r="CQ28" i="47"/>
  <c r="CO28" i="47"/>
  <c r="CM28" i="47"/>
  <c r="CK28" i="47"/>
  <c r="CI28" i="47"/>
  <c r="CG28" i="47"/>
  <c r="CE28" i="47"/>
  <c r="CC28" i="47"/>
  <c r="CA28" i="47"/>
  <c r="BY28" i="47"/>
  <c r="BW28" i="47"/>
  <c r="BU28" i="47"/>
  <c r="BS28" i="47"/>
  <c r="BQ28" i="47"/>
  <c r="BO28" i="47"/>
  <c r="BM28" i="47"/>
  <c r="BK28" i="47"/>
  <c r="BI28" i="47"/>
  <c r="BG28" i="47"/>
  <c r="BE28" i="47"/>
  <c r="CS27" i="47"/>
  <c r="CQ27" i="47"/>
  <c r="CO27" i="47"/>
  <c r="CM27" i="47"/>
  <c r="CK27" i="47"/>
  <c r="CI27" i="47"/>
  <c r="CG27" i="47"/>
  <c r="CE27" i="47"/>
  <c r="CC27" i="47"/>
  <c r="CA27" i="47"/>
  <c r="BY27" i="47"/>
  <c r="BW27" i="47"/>
  <c r="BU27" i="47"/>
  <c r="BS27" i="47"/>
  <c r="BQ27" i="47"/>
  <c r="BO27" i="47"/>
  <c r="BM27" i="47"/>
  <c r="BK27" i="47"/>
  <c r="BI27" i="47"/>
  <c r="BG27" i="47"/>
  <c r="BE27" i="47"/>
  <c r="CS26" i="47"/>
  <c r="CQ26" i="47"/>
  <c r="CO26" i="47"/>
  <c r="CM26" i="47"/>
  <c r="CK26" i="47"/>
  <c r="CI26" i="47"/>
  <c r="CG26" i="47"/>
  <c r="CE26" i="47"/>
  <c r="CC26" i="47"/>
  <c r="CA26" i="47"/>
  <c r="BY26" i="47"/>
  <c r="BW26" i="47"/>
  <c r="BU26" i="47"/>
  <c r="BS26" i="47"/>
  <c r="BQ26" i="47"/>
  <c r="BO26" i="47"/>
  <c r="BM26" i="47"/>
  <c r="BK26" i="47"/>
  <c r="BI26" i="47"/>
  <c r="BG26" i="47"/>
  <c r="BE26" i="47"/>
  <c r="CS25" i="47"/>
  <c r="CQ25" i="47"/>
  <c r="CO25" i="47"/>
  <c r="CM25" i="47"/>
  <c r="CK25" i="47"/>
  <c r="CI25" i="47"/>
  <c r="CG25" i="47"/>
  <c r="CE25" i="47"/>
  <c r="CC25" i="47"/>
  <c r="CA25" i="47"/>
  <c r="BY25" i="47"/>
  <c r="BW25" i="47"/>
  <c r="BU25" i="47"/>
  <c r="BS25" i="47"/>
  <c r="BQ25" i="47"/>
  <c r="BO25" i="47"/>
  <c r="BM25" i="47"/>
  <c r="BK25" i="47"/>
  <c r="BI25" i="47"/>
  <c r="BG25" i="47"/>
  <c r="BE25" i="47"/>
  <c r="CS24" i="47"/>
  <c r="CQ24" i="47"/>
  <c r="CO24" i="47"/>
  <c r="CM24" i="47"/>
  <c r="CK24" i="47"/>
  <c r="CI24" i="47"/>
  <c r="CG24" i="47"/>
  <c r="CE24" i="47"/>
  <c r="CC24" i="47"/>
  <c r="CA24" i="47"/>
  <c r="BY24" i="47"/>
  <c r="BW24" i="47"/>
  <c r="BU24" i="47"/>
  <c r="BS24" i="47"/>
  <c r="BQ24" i="47"/>
  <c r="BO24" i="47"/>
  <c r="BM24" i="47"/>
  <c r="BK24" i="47"/>
  <c r="BI24" i="47"/>
  <c r="BG24" i="47"/>
  <c r="BE24" i="47"/>
  <c r="CS23" i="47"/>
  <c r="CQ23" i="47"/>
  <c r="CO23" i="47"/>
  <c r="CM23" i="47"/>
  <c r="CK23" i="47"/>
  <c r="CI23" i="47"/>
  <c r="CG23" i="47"/>
  <c r="CE23" i="47"/>
  <c r="CC23" i="47"/>
  <c r="CA23" i="47"/>
  <c r="BY23" i="47"/>
  <c r="BW23" i="47"/>
  <c r="BU23" i="47"/>
  <c r="BS23" i="47"/>
  <c r="BQ23" i="47"/>
  <c r="BO23" i="47"/>
  <c r="BM23" i="47"/>
  <c r="BK23" i="47"/>
  <c r="BI23" i="47"/>
  <c r="BG23" i="47"/>
  <c r="BE23" i="47"/>
  <c r="CS22" i="47"/>
  <c r="CQ22" i="47"/>
  <c r="CO22" i="47"/>
  <c r="CM22" i="47"/>
  <c r="CK22" i="47"/>
  <c r="CI22" i="47"/>
  <c r="CG22" i="47"/>
  <c r="CE22" i="47"/>
  <c r="CC22" i="47"/>
  <c r="CA22" i="47"/>
  <c r="BY22" i="47"/>
  <c r="BW22" i="47"/>
  <c r="BU22" i="47"/>
  <c r="BS22" i="47"/>
  <c r="BQ22" i="47"/>
  <c r="BO22" i="47"/>
  <c r="BM22" i="47"/>
  <c r="BK22" i="47"/>
  <c r="BI22" i="47"/>
  <c r="BG22" i="47"/>
  <c r="BE22" i="47"/>
  <c r="CS21" i="47"/>
  <c r="CQ21" i="47"/>
  <c r="CO21" i="47"/>
  <c r="CM21" i="47"/>
  <c r="CK21" i="47"/>
  <c r="CI21" i="47"/>
  <c r="CG21" i="47"/>
  <c r="CE21" i="47"/>
  <c r="CC21" i="47"/>
  <c r="CA21" i="47"/>
  <c r="BY21" i="47"/>
  <c r="BW21" i="47"/>
  <c r="BU21" i="47"/>
  <c r="BS21" i="47"/>
  <c r="BQ21" i="47"/>
  <c r="BO21" i="47"/>
  <c r="BM21" i="47"/>
  <c r="BK21" i="47"/>
  <c r="BI21" i="47"/>
  <c r="BG21" i="47"/>
  <c r="BE21" i="47"/>
  <c r="CS20" i="47"/>
  <c r="CQ20" i="47"/>
  <c r="CO20" i="47"/>
  <c r="CM20" i="47"/>
  <c r="CK20" i="47"/>
  <c r="CI20" i="47"/>
  <c r="CG20" i="47"/>
  <c r="CE20" i="47"/>
  <c r="CC20" i="47"/>
  <c r="CA20" i="47"/>
  <c r="BY20" i="47"/>
  <c r="BW20" i="47"/>
  <c r="BU20" i="47"/>
  <c r="BS20" i="47"/>
  <c r="BQ20" i="47"/>
  <c r="BO20" i="47"/>
  <c r="BM20" i="47"/>
  <c r="BK20" i="47"/>
  <c r="BI20" i="47"/>
  <c r="BG20" i="47"/>
  <c r="BE20" i="47"/>
  <c r="CS19" i="47"/>
  <c r="CQ19" i="47"/>
  <c r="CO19" i="47"/>
  <c r="CM19" i="47"/>
  <c r="CK19" i="47"/>
  <c r="CI19" i="47"/>
  <c r="CG19" i="47"/>
  <c r="CE19" i="47"/>
  <c r="CC19" i="47"/>
  <c r="CA19" i="47"/>
  <c r="BY19" i="47"/>
  <c r="BW19" i="47"/>
  <c r="BU19" i="47"/>
  <c r="BS19" i="47"/>
  <c r="BQ19" i="47"/>
  <c r="BO19" i="47"/>
  <c r="BM19" i="47"/>
  <c r="BK19" i="47"/>
  <c r="BI19" i="47"/>
  <c r="BG19" i="47"/>
  <c r="BE19" i="47"/>
  <c r="CS18" i="47"/>
  <c r="CQ18" i="47"/>
  <c r="CO18" i="47"/>
  <c r="CM18" i="47"/>
  <c r="CK18" i="47"/>
  <c r="CI18" i="47"/>
  <c r="CG18" i="47"/>
  <c r="CE18" i="47"/>
  <c r="CC18" i="47"/>
  <c r="CA18" i="47"/>
  <c r="BY18" i="47"/>
  <c r="BW18" i="47"/>
  <c r="BU18" i="47"/>
  <c r="BS18" i="47"/>
  <c r="BQ18" i="47"/>
  <c r="BO18" i="47"/>
  <c r="BM18" i="47"/>
  <c r="BK18" i="47"/>
  <c r="BI18" i="47"/>
  <c r="BG18" i="47"/>
  <c r="BE18" i="47"/>
  <c r="CS17" i="47"/>
  <c r="CQ17" i="47"/>
  <c r="CO17" i="47"/>
  <c r="CM17" i="47"/>
  <c r="CK17" i="47"/>
  <c r="CI17" i="47"/>
  <c r="CG17" i="47"/>
  <c r="CE17" i="47"/>
  <c r="CC17" i="47"/>
  <c r="CA17" i="47"/>
  <c r="BY17" i="47"/>
  <c r="BW17" i="47"/>
  <c r="BU17" i="47"/>
  <c r="BS17" i="47"/>
  <c r="BQ17" i="47"/>
  <c r="BO17" i="47"/>
  <c r="BM17" i="47"/>
  <c r="BK17" i="47"/>
  <c r="BI17" i="47"/>
  <c r="BG17" i="47"/>
  <c r="BE17" i="47"/>
  <c r="CS16" i="47"/>
  <c r="CQ16" i="47"/>
  <c r="CO16" i="47"/>
  <c r="CM16" i="47"/>
  <c r="CK16" i="47"/>
  <c r="CI16" i="47"/>
  <c r="CG16" i="47"/>
  <c r="CE16" i="47"/>
  <c r="CC16" i="47"/>
  <c r="CA16" i="47"/>
  <c r="BY16" i="47"/>
  <c r="BW16" i="47"/>
  <c r="BU16" i="47"/>
  <c r="BS16" i="47"/>
  <c r="BQ16" i="47"/>
  <c r="BO16" i="47"/>
  <c r="BM16" i="47"/>
  <c r="BK16" i="47"/>
  <c r="BI16" i="47"/>
  <c r="BG16" i="47"/>
  <c r="BE16" i="47"/>
  <c r="CS15" i="47"/>
  <c r="CQ15" i="47"/>
  <c r="CO15" i="47"/>
  <c r="CM15" i="47"/>
  <c r="CK15" i="47"/>
  <c r="CI15" i="47"/>
  <c r="CG15" i="47"/>
  <c r="CE15" i="47"/>
  <c r="CC15" i="47"/>
  <c r="CA15" i="47"/>
  <c r="BY15" i="47"/>
  <c r="BW15" i="47"/>
  <c r="BU15" i="47"/>
  <c r="BS15" i="47"/>
  <c r="BQ15" i="47"/>
  <c r="BO15" i="47"/>
  <c r="BM15" i="47"/>
  <c r="BK15" i="47"/>
  <c r="BI15" i="47"/>
  <c r="BG15" i="47"/>
  <c r="BE15" i="47"/>
  <c r="CS14" i="47"/>
  <c r="CQ14" i="47"/>
  <c r="CO14" i="47"/>
  <c r="CM14" i="47"/>
  <c r="CK14" i="47"/>
  <c r="CI14" i="47"/>
  <c r="CG14" i="47"/>
  <c r="CE14" i="47"/>
  <c r="CC14" i="47"/>
  <c r="CA14" i="47"/>
  <c r="BY14" i="47"/>
  <c r="BW14" i="47"/>
  <c r="BU14" i="47"/>
  <c r="BS14" i="47"/>
  <c r="BQ14" i="47"/>
  <c r="BO14" i="47"/>
  <c r="BM14" i="47"/>
  <c r="BK14" i="47"/>
  <c r="BI14" i="47"/>
  <c r="BG14" i="47"/>
  <c r="BE14" i="47"/>
  <c r="CS12" i="47"/>
  <c r="CQ12" i="47"/>
  <c r="CO12" i="47"/>
  <c r="CM12" i="47"/>
  <c r="CK12" i="47"/>
  <c r="CI12" i="47"/>
  <c r="CG12" i="47"/>
  <c r="CE12" i="47"/>
  <c r="CC12" i="47"/>
  <c r="CA12" i="47"/>
  <c r="BY12" i="47"/>
  <c r="BW12" i="47"/>
  <c r="BU12" i="47"/>
  <c r="BS12" i="47"/>
  <c r="BQ12" i="47"/>
  <c r="BO12" i="47"/>
  <c r="BM12" i="47"/>
  <c r="BK12" i="47"/>
  <c r="BI12" i="47"/>
  <c r="BG12" i="47"/>
  <c r="BE12" i="47"/>
  <c r="CS11" i="47"/>
  <c r="CQ11" i="47"/>
  <c r="CO11" i="47"/>
  <c r="CM11" i="47"/>
  <c r="CK11" i="47"/>
  <c r="CI11" i="47"/>
  <c r="CG11" i="47"/>
  <c r="CE11" i="47"/>
  <c r="CC11" i="47"/>
  <c r="CA11" i="47"/>
  <c r="BY11" i="47"/>
  <c r="BW11" i="47"/>
  <c r="BU11" i="47"/>
  <c r="BS11" i="47"/>
  <c r="BQ11" i="47"/>
  <c r="BO11" i="47"/>
  <c r="BM11" i="47"/>
  <c r="BK11" i="47"/>
  <c r="BI11" i="47"/>
  <c r="BG11" i="47"/>
  <c r="BE11" i="47"/>
  <c r="CS10" i="47"/>
  <c r="CQ10" i="47"/>
  <c r="CO10" i="47"/>
  <c r="CM10" i="47"/>
  <c r="CK10" i="47"/>
  <c r="CI10" i="47"/>
  <c r="CG10" i="47"/>
  <c r="CE10" i="47"/>
  <c r="CC10" i="47"/>
  <c r="CA10" i="47"/>
  <c r="BY10" i="47"/>
  <c r="BW10" i="47"/>
  <c r="BU10" i="47"/>
  <c r="BS10" i="47"/>
  <c r="BQ10" i="47"/>
  <c r="BO10" i="47"/>
  <c r="BM10" i="47"/>
  <c r="BK10" i="47"/>
  <c r="BI10" i="47"/>
  <c r="BG10" i="47"/>
  <c r="BE10" i="47"/>
  <c r="CS9" i="47"/>
  <c r="CQ9" i="47"/>
  <c r="CO9" i="47"/>
  <c r="CM9" i="47"/>
  <c r="CK9" i="47"/>
  <c r="CI9" i="47"/>
  <c r="CG9" i="47"/>
  <c r="CE9" i="47"/>
  <c r="CC9" i="47"/>
  <c r="CA9" i="47"/>
  <c r="BY9" i="47"/>
  <c r="BW9" i="47"/>
  <c r="BU9" i="47"/>
  <c r="BS9" i="47"/>
  <c r="BQ9" i="47"/>
  <c r="BO9" i="47"/>
  <c r="BM9" i="47"/>
  <c r="BK9" i="47"/>
  <c r="BI9" i="47"/>
  <c r="BG9" i="47"/>
  <c r="BE9" i="47"/>
  <c r="CS8" i="47"/>
  <c r="CQ8" i="47"/>
  <c r="CO8" i="47"/>
  <c r="CM8" i="47"/>
  <c r="CK8" i="47"/>
  <c r="CI8" i="47"/>
  <c r="CG8" i="47"/>
  <c r="CE8" i="47"/>
  <c r="CC8" i="47"/>
  <c r="CA8" i="47"/>
  <c r="BY8" i="47"/>
  <c r="BW8" i="47"/>
  <c r="BU8" i="47"/>
  <c r="BS8" i="47"/>
  <c r="BQ8" i="47"/>
  <c r="BO8" i="47"/>
  <c r="BM8" i="47"/>
  <c r="BK8" i="47"/>
  <c r="BI8" i="47"/>
  <c r="BG8" i="47"/>
  <c r="BE8" i="47"/>
  <c r="BE8" i="46"/>
  <c r="BG8" i="46"/>
  <c r="BI8" i="46"/>
  <c r="BK8" i="46"/>
  <c r="BM8" i="46"/>
  <c r="BO8" i="46"/>
  <c r="BQ8" i="46"/>
  <c r="BS8" i="46"/>
  <c r="BU8" i="46"/>
  <c r="BW8" i="46"/>
  <c r="BY8" i="46"/>
  <c r="CA8" i="46"/>
  <c r="BE9" i="46"/>
  <c r="BG9" i="46"/>
  <c r="BI9" i="46"/>
  <c r="BK9" i="46"/>
  <c r="BM9" i="46"/>
  <c r="BO9" i="46"/>
  <c r="BQ9" i="46"/>
  <c r="BS9" i="46"/>
  <c r="BU9" i="46"/>
  <c r="BW9" i="46"/>
  <c r="BY9" i="46"/>
  <c r="CA9" i="46"/>
  <c r="BG10" i="46"/>
  <c r="BI10" i="46"/>
  <c r="BK10" i="46"/>
  <c r="BM10" i="46"/>
  <c r="BO10" i="46"/>
  <c r="BQ10" i="46"/>
  <c r="BS10" i="46"/>
  <c r="BU10" i="46"/>
  <c r="BW10" i="46"/>
  <c r="BY10" i="46"/>
  <c r="CA10" i="46"/>
  <c r="BE11" i="46"/>
  <c r="BG11" i="46"/>
  <c r="BI11" i="46"/>
  <c r="BK11" i="46"/>
  <c r="BM11" i="46"/>
  <c r="BO11" i="46"/>
  <c r="BQ11" i="46"/>
  <c r="BS11" i="46"/>
  <c r="BU11" i="46"/>
  <c r="BW11" i="46"/>
  <c r="BY11" i="46"/>
  <c r="CA11" i="46"/>
  <c r="BG12" i="46"/>
  <c r="BI12" i="46"/>
  <c r="BK12" i="46"/>
  <c r="BM12" i="46"/>
  <c r="BO12" i="46"/>
  <c r="BQ12" i="46"/>
  <c r="BS12" i="46"/>
  <c r="BU12" i="46"/>
  <c r="BW12" i="46"/>
  <c r="BY12" i="46"/>
  <c r="CA12" i="46"/>
  <c r="BE13" i="46"/>
  <c r="BG13" i="46"/>
  <c r="BI13" i="46"/>
  <c r="BK13" i="46"/>
  <c r="BM13" i="46"/>
  <c r="BO13" i="46"/>
  <c r="BQ13" i="46"/>
  <c r="BS13" i="46"/>
  <c r="BU13" i="46"/>
  <c r="BW13" i="46"/>
  <c r="BY13" i="46"/>
  <c r="CA13" i="46"/>
  <c r="BE14" i="46"/>
  <c r="BG14" i="46"/>
  <c r="BI14" i="46"/>
  <c r="BK14" i="46"/>
  <c r="BM14" i="46"/>
  <c r="BO14" i="46"/>
  <c r="BQ14" i="46"/>
  <c r="BS14" i="46"/>
  <c r="BU14" i="46"/>
  <c r="BW14" i="46"/>
  <c r="BY14" i="46"/>
  <c r="CA14" i="46"/>
  <c r="BE15" i="46"/>
  <c r="BG15" i="46"/>
  <c r="BI15" i="46"/>
  <c r="BK15" i="46"/>
  <c r="BM15" i="46"/>
  <c r="BO15" i="46"/>
  <c r="BQ15" i="46"/>
  <c r="BS15" i="46"/>
  <c r="BU15" i="46"/>
  <c r="BW15" i="46"/>
  <c r="BY15" i="46"/>
  <c r="CA15" i="46"/>
  <c r="BE16" i="46"/>
  <c r="BG16" i="46"/>
  <c r="BI16" i="46"/>
  <c r="BK16" i="46"/>
  <c r="BM16" i="46"/>
  <c r="BO16" i="46"/>
  <c r="BQ16" i="46"/>
  <c r="BS16" i="46"/>
  <c r="BU16" i="46"/>
  <c r="BW16" i="46"/>
  <c r="BY16" i="46"/>
  <c r="CA16" i="46"/>
  <c r="BE21" i="46"/>
  <c r="BF21" i="46"/>
  <c r="BF23" i="46"/>
  <c r="BG21" i="46"/>
  <c r="BG23" i="46" s="1"/>
  <c r="BI21" i="46"/>
  <c r="BI23" i="46" s="1"/>
  <c r="BK21" i="46"/>
  <c r="BK23" i="46" s="1"/>
  <c r="BM21" i="46"/>
  <c r="BO21" i="46"/>
  <c r="BO23" i="46" s="1"/>
  <c r="BQ21" i="46"/>
  <c r="BQ23" i="46" s="1"/>
  <c r="BS21" i="46"/>
  <c r="BU21" i="46"/>
  <c r="BU23" i="46"/>
  <c r="BW21" i="46"/>
  <c r="BW23" i="46" s="1"/>
  <c r="BY21" i="46"/>
  <c r="CA21" i="46"/>
  <c r="CA23" i="46" s="1"/>
  <c r="BE22" i="46"/>
  <c r="BF22" i="46"/>
  <c r="BG22" i="46"/>
  <c r="BI22" i="46"/>
  <c r="BK22" i="46"/>
  <c r="BM22" i="46"/>
  <c r="BM23" i="46" s="1"/>
  <c r="BO22" i="46"/>
  <c r="BQ22" i="46"/>
  <c r="BS22" i="46"/>
  <c r="BS23" i="46" s="1"/>
  <c r="BU22" i="46"/>
  <c r="BW22" i="46"/>
  <c r="BY22" i="46"/>
  <c r="CA22" i="46"/>
  <c r="BE23" i="46"/>
  <c r="BY23" i="46"/>
  <c r="BE24" i="46"/>
  <c r="BF24" i="46"/>
  <c r="BG24" i="46"/>
  <c r="BG26" i="46"/>
  <c r="BI24" i="46"/>
  <c r="BI26" i="46" s="1"/>
  <c r="BK24" i="46"/>
  <c r="BM24" i="46"/>
  <c r="BM26" i="46" s="1"/>
  <c r="BO24" i="46"/>
  <c r="BQ24" i="46"/>
  <c r="BQ26" i="46" s="1"/>
  <c r="BS24" i="46"/>
  <c r="BS26" i="46" s="1"/>
  <c r="BU24" i="46"/>
  <c r="BW24" i="46"/>
  <c r="BW26" i="46"/>
  <c r="BY24" i="46"/>
  <c r="BY26" i="46" s="1"/>
  <c r="CA24" i="46"/>
  <c r="BE25" i="46"/>
  <c r="BE26" i="46" s="1"/>
  <c r="BF25" i="46"/>
  <c r="BG25" i="46"/>
  <c r="BI25" i="46"/>
  <c r="BK25" i="46"/>
  <c r="BM25" i="46"/>
  <c r="BO25" i="46"/>
  <c r="BO26" i="46" s="1"/>
  <c r="BQ25" i="46"/>
  <c r="BS25" i="46"/>
  <c r="BU25" i="46"/>
  <c r="BU26" i="46" s="1"/>
  <c r="BW25" i="46"/>
  <c r="BY25" i="46"/>
  <c r="CA25" i="46"/>
  <c r="BF26" i="46"/>
  <c r="BK26" i="46"/>
  <c r="CA26" i="46"/>
  <c r="BE27" i="46"/>
  <c r="BE29" i="46" s="1"/>
  <c r="BE28" i="46"/>
  <c r="BE30" i="46"/>
  <c r="BE32" i="46"/>
  <c r="BE31" i="46"/>
  <c r="BE33" i="46"/>
  <c r="BE34" i="46"/>
  <c r="BE35" i="46" s="1"/>
  <c r="BE36" i="46"/>
  <c r="BE38" i="46" s="1"/>
  <c r="BE37" i="46"/>
  <c r="AA67" i="47"/>
  <c r="AA65" i="47"/>
  <c r="AA63" i="47"/>
  <c r="AA61" i="47"/>
  <c r="AA59" i="47"/>
  <c r="AA57" i="47"/>
  <c r="AA55" i="47"/>
  <c r="N65" i="47"/>
  <c r="Q55" i="47"/>
  <c r="L55" i="47"/>
  <c r="F64" i="47"/>
  <c r="F57" i="47"/>
  <c r="F53" i="47"/>
  <c r="D67" i="47"/>
  <c r="D65" i="47"/>
  <c r="D63" i="47"/>
  <c r="D61" i="47"/>
  <c r="D59" i="47"/>
  <c r="D53" i="47"/>
  <c r="D57" i="47"/>
  <c r="D55" i="47"/>
  <c r="E51" i="47"/>
  <c r="V30" i="48"/>
  <c r="CQ25" i="46"/>
  <c r="CO25" i="46"/>
  <c r="CO26" i="46" s="1"/>
  <c r="CM25" i="46"/>
  <c r="CK25" i="46"/>
  <c r="CK26" i="46"/>
  <c r="CI25" i="46"/>
  <c r="CG25" i="46"/>
  <c r="CE25" i="46"/>
  <c r="CC25" i="46"/>
  <c r="CQ24" i="46"/>
  <c r="CQ26" i="46" s="1"/>
  <c r="CO24" i="46"/>
  <c r="CM24" i="46"/>
  <c r="CM26" i="46" s="1"/>
  <c r="CK24" i="46"/>
  <c r="CI24" i="46"/>
  <c r="CI26" i="46"/>
  <c r="CG24" i="46"/>
  <c r="CG26" i="46" s="1"/>
  <c r="CE24" i="46"/>
  <c r="CE26" i="46"/>
  <c r="CC24" i="46"/>
  <c r="CC26" i="46" s="1"/>
  <c r="CQ22" i="46"/>
  <c r="CO22" i="46"/>
  <c r="CO23" i="46" s="1"/>
  <c r="CM22" i="46"/>
  <c r="CK22" i="46"/>
  <c r="CK23" i="46"/>
  <c r="CI22" i="46"/>
  <c r="CG22" i="46"/>
  <c r="CE22" i="46"/>
  <c r="CC22" i="46"/>
  <c r="CQ21" i="46"/>
  <c r="CQ23" i="46" s="1"/>
  <c r="CO21" i="46"/>
  <c r="CM21" i="46"/>
  <c r="CM23" i="46" s="1"/>
  <c r="CK21" i="46"/>
  <c r="CI21" i="46"/>
  <c r="CI23" i="46"/>
  <c r="CG21" i="46"/>
  <c r="CG23" i="46" s="1"/>
  <c r="CE21" i="46"/>
  <c r="CE23" i="46"/>
  <c r="CC21" i="46"/>
  <c r="CC23" i="46" s="1"/>
  <c r="CQ16" i="46"/>
  <c r="CO16" i="46"/>
  <c r="CM16" i="46"/>
  <c r="CK16" i="46"/>
  <c r="CI16" i="46"/>
  <c r="CG16" i="46"/>
  <c r="CE16" i="46"/>
  <c r="CC16" i="46"/>
  <c r="CQ15" i="46"/>
  <c r="CO15" i="46"/>
  <c r="CM15" i="46"/>
  <c r="CK15" i="46"/>
  <c r="CI15" i="46"/>
  <c r="CG15" i="46"/>
  <c r="CE15" i="46"/>
  <c r="CC15" i="46"/>
  <c r="CQ14" i="46"/>
  <c r="CO14" i="46"/>
  <c r="CM14" i="46"/>
  <c r="CK14" i="46"/>
  <c r="CI14" i="46"/>
  <c r="CG14" i="46"/>
  <c r="CE14" i="46"/>
  <c r="CC14" i="46"/>
  <c r="CQ13" i="46"/>
  <c r="CO13" i="46"/>
  <c r="CM13" i="46"/>
  <c r="CK13" i="46"/>
  <c r="CI13" i="46"/>
  <c r="CG13" i="46"/>
  <c r="CE13" i="46"/>
  <c r="CC13" i="46"/>
  <c r="CQ12" i="46"/>
  <c r="CO12" i="46"/>
  <c r="CM12" i="46"/>
  <c r="CK12" i="46"/>
  <c r="CI12" i="46"/>
  <c r="CG12" i="46"/>
  <c r="CE12" i="46"/>
  <c r="CC12" i="46"/>
  <c r="CQ11" i="46"/>
  <c r="CO11" i="46"/>
  <c r="CM11" i="46"/>
  <c r="CK11" i="46"/>
  <c r="CI11" i="46"/>
  <c r="CG11" i="46"/>
  <c r="CE11" i="46"/>
  <c r="CC11" i="46"/>
  <c r="CQ10" i="46"/>
  <c r="CO10" i="46"/>
  <c r="CM10" i="46"/>
  <c r="CK10" i="46"/>
  <c r="CI10" i="46"/>
  <c r="CG10" i="46"/>
  <c r="CE10" i="46"/>
  <c r="CC10" i="46"/>
  <c r="CQ9" i="46"/>
  <c r="CO9" i="46"/>
  <c r="CM9" i="46"/>
  <c r="CK9" i="46"/>
  <c r="CI9" i="46"/>
  <c r="CG9" i="46"/>
  <c r="CE9" i="46"/>
  <c r="CC9" i="46"/>
  <c r="CQ8" i="46"/>
  <c r="CO8" i="46"/>
  <c r="CM8" i="46"/>
  <c r="CK8" i="46"/>
  <c r="CI8" i="46"/>
  <c r="CG8" i="46"/>
  <c r="CE8" i="46"/>
  <c r="CC8" i="46"/>
  <c r="L50" i="47"/>
  <c r="D49" i="47"/>
  <c r="V34" i="48"/>
  <c r="V32" i="48"/>
  <c r="V28" i="48"/>
  <c r="V26" i="48"/>
  <c r="V24" i="48"/>
  <c r="V22" i="48"/>
  <c r="R23" i="48"/>
  <c r="Q27" i="48"/>
  <c r="P23" i="48"/>
  <c r="H24" i="48"/>
  <c r="K22" i="48"/>
  <c r="K24" i="48"/>
  <c r="K26" i="48"/>
  <c r="K28" i="48"/>
  <c r="L18" i="48"/>
  <c r="K18" i="48"/>
  <c r="J18" i="48"/>
  <c r="I18" i="48"/>
  <c r="H18" i="48"/>
  <c r="G18" i="48"/>
  <c r="F18" i="48"/>
  <c r="E18" i="48"/>
  <c r="G8" i="48"/>
  <c r="H8" i="48"/>
  <c r="G11" i="48"/>
  <c r="L12" i="48"/>
  <c r="E13" i="48"/>
  <c r="G13" i="48"/>
  <c r="L14" i="48"/>
  <c r="E16" i="48"/>
  <c r="E20" i="48"/>
  <c r="S24" i="48"/>
  <c r="U46" i="40"/>
  <c r="D46" i="40"/>
  <c r="D44" i="40"/>
  <c r="U42" i="40"/>
  <c r="D42" i="40"/>
  <c r="D40" i="40"/>
  <c r="U38" i="40"/>
  <c r="J38" i="40"/>
  <c r="D38" i="40"/>
  <c r="D36" i="40"/>
  <c r="U34" i="40"/>
  <c r="D34" i="40"/>
  <c r="U43" i="41"/>
  <c r="E42" i="41"/>
  <c r="U41" i="41"/>
  <c r="U39" i="41"/>
  <c r="U37" i="41"/>
  <c r="U35" i="41"/>
  <c r="U33" i="41"/>
  <c r="D33" i="41"/>
  <c r="K32" i="41"/>
  <c r="U31" i="41"/>
  <c r="D52" i="47"/>
  <c r="CS8" i="46"/>
  <c r="CU8" i="46"/>
  <c r="CS9" i="46"/>
  <c r="CU9" i="46"/>
  <c r="CS11" i="46"/>
  <c r="CU11" i="46"/>
  <c r="CS13" i="46"/>
  <c r="CU13" i="46"/>
  <c r="CS14" i="46"/>
  <c r="CU14" i="46"/>
  <c r="CS15" i="46"/>
  <c r="CU15" i="46"/>
  <c r="CS16" i="46"/>
  <c r="CU16" i="46"/>
  <c r="CS22" i="46"/>
  <c r="CU22" i="46"/>
  <c r="F26" i="46"/>
  <c r="M26" i="46"/>
  <c r="H28" i="46"/>
  <c r="V29" i="46"/>
  <c r="F30" i="46"/>
  <c r="M30" i="46"/>
  <c r="V31" i="46"/>
  <c r="CU25" i="46"/>
  <c r="CU21" i="46"/>
  <c r="CU23" i="46" s="1"/>
  <c r="CS10" i="46"/>
  <c r="CU10" i="46"/>
  <c r="CS23" i="46"/>
  <c r="BE10" i="46"/>
  <c r="AV12" i="46"/>
  <c r="CU12" i="46"/>
  <c r="CS25" i="46"/>
  <c r="CU24" i="46"/>
  <c r="CU26" i="46" s="1"/>
  <c r="CS12" i="46"/>
  <c r="BE12" i="46"/>
  <c r="CS24" i="46"/>
  <c r="CS26"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Reena Shah</author>
    <author>Jeremy Webb</author>
    <author>United Nations</author>
  </authors>
  <commentList>
    <comment ref="F7" authorId="0" shapeId="0" xr:uid="{00000000-0006-0000-0400-000001000000}">
      <text>
        <r>
          <rPr>
            <b/>
            <sz val="8"/>
            <color indexed="81"/>
            <rFont val="Tahoma"/>
            <family val="2"/>
          </rPr>
          <t xml:space="preserve">Promedio anual de largo plazo: </t>
        </r>
        <r>
          <rPr>
            <sz val="8"/>
            <color indexed="81"/>
            <rFont val="Tahoma"/>
            <family val="2"/>
          </rPr>
          <t>Promedio aritmético de por lo menos 30 años consecutivos. Suministre el promedio correspondiente al período disponible e indique la duración del período en las notas a pie de página.</t>
        </r>
      </text>
    </comment>
    <comment ref="D8" authorId="1" shapeId="0" xr:uid="{00000000-0006-0000-0400-000002000000}">
      <text>
        <r>
          <rPr>
            <b/>
            <sz val="8"/>
            <color indexed="81"/>
            <rFont val="Tahoma"/>
            <family val="2"/>
          </rPr>
          <t>Precipitación:</t>
        </r>
        <r>
          <rPr>
            <sz val="8"/>
            <color indexed="81"/>
            <rFont val="Tahoma"/>
            <family val="2"/>
          </rPr>
          <t xml:space="preserve">
Volumen total de precipitaciones atmosféricas húmedas (lluvia, nieve, granizo, rocío, etc.) que caen en el territorio de un país en un año, en millones de metros cúbicos.</t>
        </r>
      </text>
    </comment>
    <comment ref="D9" authorId="1" shapeId="0" xr:uid="{00000000-0006-0000-0400-000003000000}">
      <text>
        <r>
          <rPr>
            <b/>
            <sz val="8"/>
            <color indexed="81"/>
            <rFont val="Tahoma"/>
            <family val="2"/>
          </rPr>
          <t>Evapotranspiración real:</t>
        </r>
        <r>
          <rPr>
            <sz val="8"/>
            <color indexed="81"/>
            <rFont val="Tahoma"/>
            <family val="2"/>
          </rPr>
          <t xml:space="preserve">
</t>
        </r>
        <r>
          <rPr>
            <sz val="8"/>
            <color indexed="81"/>
            <rFont val="Tahoma"/>
            <family val="2"/>
          </rPr>
          <t xml:space="preserve">  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r>
      </text>
    </comment>
    <comment ref="D10" authorId="1" shapeId="0" xr:uid="{00000000-0006-0000-0400-000004000000}">
      <text>
        <r>
          <rPr>
            <b/>
            <sz val="8"/>
            <color indexed="81"/>
            <rFont val="Tahoma"/>
            <family val="2"/>
          </rPr>
          <t>Flujo interno:</t>
        </r>
        <r>
          <rPr>
            <sz val="8"/>
            <color indexed="81"/>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11" authorId="1" shapeId="0" xr:uid="{00000000-0006-0000-0400-000005000000}">
      <text>
        <r>
          <rPr>
            <b/>
            <sz val="8"/>
            <color indexed="81"/>
            <rFont val="Tahoma"/>
            <family val="2"/>
          </rPr>
          <t>Caudal de entrada de aguas superficiales y subterráneas desde países vecinos:</t>
        </r>
        <r>
          <rPr>
            <sz val="8"/>
            <color indexed="81"/>
            <rFont val="Tahoma"/>
            <family val="2"/>
          </rPr>
          <t xml:space="preserve">
Volumen total del caudal externo real de entrada de ríos y aguas subterráneas procedente de países vecinos. Las masas de aguas limítrofes deben dividirse por partes iguales entre los dos Estados ribereños, a menos que existan otros acuerdos de aguas compartidas.</t>
        </r>
      </text>
    </comment>
    <comment ref="D12" authorId="1" shapeId="0" xr:uid="{00000000-0006-0000-0400-000006000000}">
      <text>
        <r>
          <rPr>
            <b/>
            <sz val="8"/>
            <color indexed="81"/>
            <rFont val="Tahoma"/>
            <family val="2"/>
          </rPr>
          <t xml:space="preserve">Recursos renovables de agua dulce: 
</t>
        </r>
        <r>
          <rPr>
            <sz val="8"/>
            <color indexed="81"/>
            <rFont val="Tahoma"/>
            <family val="2"/>
          </rPr>
          <t xml:space="preserve"> = flujo interno + caudal de entrada de aguas superficiales y subterráneas procedente de países vecinos.</t>
        </r>
      </text>
    </comment>
    <comment ref="D13" authorId="1" shapeId="0" xr:uid="{00000000-0006-0000-0400-000007000000}">
      <text>
        <r>
          <rPr>
            <b/>
            <sz val="8"/>
            <color indexed="81"/>
            <rFont val="Tahoma"/>
            <family val="2"/>
          </rPr>
          <t>Caudal de salida de aguas superficiales y subterráneas hacia países vecinos:</t>
        </r>
        <r>
          <rPr>
            <sz val="8"/>
            <color indexed="81"/>
            <rFont val="Tahoma"/>
            <family val="2"/>
          </rPr>
          <t xml:space="preserve">
Caudal real de salida de las aguas fluviales y subterráneas hacia países vecinos.</t>
        </r>
      </text>
    </comment>
    <comment ref="D14" authorId="2" shapeId="0" xr:uid="{00000000-0006-0000-0400-000008000000}">
      <text>
        <r>
          <rPr>
            <b/>
            <sz val="8"/>
            <color indexed="81"/>
            <rFont val="Tahoma"/>
            <family val="2"/>
          </rPr>
          <t xml:space="preserve">Garantizado por tratados:
</t>
        </r>
        <r>
          <rPr>
            <sz val="8"/>
            <color indexed="81"/>
            <rFont val="Tahoma"/>
            <family val="2"/>
          </rPr>
          <t>Volumen anual de aguas superficiales y subterráneas que sale del país de referencia y está garantizado por acuerdos formales con los países adyacentes de periodicidad anual.</t>
        </r>
      </text>
    </comment>
    <comment ref="D15" authorId="2" shapeId="0" xr:uid="{00000000-0006-0000-0400-000009000000}">
      <text>
        <r>
          <rPr>
            <b/>
            <sz val="8"/>
            <color indexed="81"/>
            <rFont val="Tahoma"/>
            <family val="2"/>
          </rPr>
          <t xml:space="preserve">No garantizado por tratados:
</t>
        </r>
        <r>
          <rPr>
            <sz val="8"/>
            <color indexed="81"/>
            <rFont val="Tahoma"/>
            <family val="2"/>
          </rPr>
          <t>Volumen anual de aguas superficiales y subterráneas que sale del país de referencia y no está garantizado por acuerdos formales con los países adyacentes de periodicidad anual.</t>
        </r>
      </text>
    </comment>
    <comment ref="D16" authorId="2" shapeId="0" xr:uid="{00000000-0006-0000-0400-00000A000000}">
      <text>
        <r>
          <rPr>
            <b/>
            <sz val="8"/>
            <color indexed="81"/>
            <rFont val="Tahoma"/>
            <family val="2"/>
          </rPr>
          <t>Caudal de salida de aguas superficiales y subterráneas hacia el mar:</t>
        </r>
        <r>
          <rPr>
            <sz val="8"/>
            <color indexed="81"/>
            <rFont val="Tahoma"/>
            <family val="2"/>
          </rPr>
          <t xml:space="preserve">
Caudal real de salida de las aguas fluviales y subterráneas hacia el mar.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United Nations</author>
    <author>Xuan Che</author>
    <author>Marcus Newbury</author>
  </authors>
  <commentList>
    <comment ref="D8" authorId="0" shapeId="0" xr:uid="{00000000-0006-0000-0500-000001000000}">
      <text>
        <r>
          <rPr>
            <b/>
            <sz val="8"/>
            <color indexed="8"/>
            <rFont val="Tahoma"/>
            <family val="2"/>
          </rPr>
          <t xml:space="preserve">Extracción de agua dulce superficial:
</t>
        </r>
        <r>
          <rPr>
            <sz val="8"/>
            <color indexed="8"/>
            <rFont val="Tahoma"/>
            <family val="2"/>
          </rPr>
          <t xml:space="preserve">Agua extraída de cualquier fuente de agua dulce superficial, como ríos, lagos, embalses o agua de lluvia, ya sea de manera temporal o permanente. </t>
        </r>
      </text>
    </comment>
    <comment ref="D9" authorId="0" shapeId="0" xr:uid="{00000000-0006-0000-0500-000002000000}">
      <text>
        <r>
          <rPr>
            <b/>
            <sz val="8"/>
            <color indexed="8"/>
            <rFont val="Tahoma"/>
            <family val="2"/>
          </rPr>
          <t>Extracción de agua dulce subterránea:</t>
        </r>
        <r>
          <rPr>
            <sz val="8"/>
            <color indexed="8"/>
            <rFont val="Tahoma"/>
            <family val="2"/>
          </rPr>
          <t xml:space="preserve">
</t>
        </r>
        <r>
          <rPr>
            <sz val="8"/>
            <color indexed="8"/>
            <rFont val="Tahoma"/>
            <family val="2"/>
          </rPr>
          <t>Agua extraída de cualquier fuente de agua dulce subterránea, ya sea de manera temporal o permanente.</t>
        </r>
      </text>
    </comment>
    <comment ref="D10" authorId="0" shapeId="0" xr:uid="{00000000-0006-0000-0500-000003000000}">
      <text>
        <r>
          <rPr>
            <b/>
            <sz val="8"/>
            <color indexed="8"/>
            <rFont val="Tahoma"/>
            <family val="2"/>
          </rPr>
          <t>Extracción bruta de agua dulce</t>
        </r>
        <r>
          <rPr>
            <b/>
            <sz val="8"/>
            <color indexed="8"/>
            <rFont val="Tahoma"/>
            <family val="2"/>
          </rPr>
          <t>:</t>
        </r>
        <r>
          <rPr>
            <sz val="8"/>
            <color indexed="8"/>
            <rFont val="Tahoma"/>
            <family val="2"/>
          </rPr>
          <t xml:space="preserve">
</t>
        </r>
        <r>
          <rPr>
            <sz val="8"/>
            <color indexed="8"/>
            <rFont val="Tahoma"/>
            <family val="2"/>
          </rPr>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 El agua utilizada para la generación hidroeléctrica es de uso in situ y debe excluirse.</t>
        </r>
      </text>
    </comment>
    <comment ref="D11" authorId="1" shapeId="0" xr:uid="{00000000-0006-0000-0500-000004000000}">
      <text>
        <r>
          <rPr>
            <b/>
            <sz val="8"/>
            <color indexed="8"/>
            <rFont val="Tahoma"/>
            <family val="2"/>
          </rPr>
          <t xml:space="preserve">Agua retornada sin usar: 
</t>
        </r>
        <r>
          <rPr>
            <sz val="8"/>
            <color indexed="8"/>
            <rFont val="Tahoma"/>
            <family val="2"/>
          </rPr>
          <t>Agua descargada en aguas dulces sin haber sido usada o antes de ser usada. Esto ocurre principalmente durante procesos de minería y construcción. Se excluyen las descargas en el mar.</t>
        </r>
      </text>
    </comment>
    <comment ref="D12" authorId="1" shapeId="0" xr:uid="{00000000-0006-0000-0500-000005000000}">
      <text>
        <r>
          <rPr>
            <b/>
            <sz val="8"/>
            <color indexed="8"/>
            <rFont val="Tahoma"/>
            <family val="2"/>
          </rPr>
          <t xml:space="preserve">Extracción neta de agua dulce </t>
        </r>
        <r>
          <rPr>
            <sz val="8"/>
            <color indexed="8"/>
            <rFont val="Tahoma"/>
            <family val="2"/>
          </rPr>
          <t>= Extracción bruta de agua dulce - agua retornada sin usar.</t>
        </r>
      </text>
    </comment>
    <comment ref="D14" authorId="0" shapeId="0" xr:uid="{00000000-0006-0000-0500-000006000000}">
      <text>
        <r>
          <rPr>
            <sz val="8"/>
            <color indexed="81"/>
            <rFont val="Tahoma"/>
            <family val="2"/>
          </rPr>
          <t xml:space="preserve">(Extracción de agua dulce por) </t>
        </r>
        <r>
          <rPr>
            <b/>
            <sz val="8"/>
            <color indexed="81"/>
            <rFont val="Tahoma"/>
            <family val="2"/>
          </rPr>
          <t>Industria del suministro de agua (CIIU 36):</t>
        </r>
        <r>
          <rPr>
            <sz val="8"/>
            <color indexed="81"/>
            <rFont val="Tahoma"/>
            <family val="2"/>
          </rPr>
          <t xml:space="preserve">
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r>
      </text>
    </comment>
    <comment ref="D15" authorId="0" shapeId="0" xr:uid="{00000000-0006-0000-0500-000007000000}">
      <text>
        <r>
          <rPr>
            <sz val="8"/>
            <color indexed="81"/>
            <rFont val="Tahoma"/>
            <family val="2"/>
          </rPr>
          <t xml:space="preserve">(Extracción de agua dulce por) </t>
        </r>
        <r>
          <rPr>
            <b/>
            <sz val="8"/>
            <color indexed="81"/>
            <rFont val="Tahoma"/>
            <family val="2"/>
          </rPr>
          <t>Hogares:</t>
        </r>
        <r>
          <rPr>
            <sz val="8"/>
            <color indexed="81"/>
            <rFont val="Tahoma"/>
            <family val="2"/>
          </rPr>
          <t xml:space="preserve">
Volumen de agua extraída directamente de fuentes superficiales (ríos, lagos, embalses, etc., incluido el volumen de agua de lluvia recogida) y subterráneas por los hogares para su propia utilización.</t>
        </r>
      </text>
    </comment>
    <comment ref="D16" authorId="0" shapeId="0" xr:uid="{00000000-0006-0000-0500-000008000000}">
      <text>
        <r>
          <rPr>
            <sz val="8"/>
            <color indexed="81"/>
            <rFont val="Tahoma"/>
            <family val="2"/>
          </rPr>
          <t xml:space="preserve">(Extracción de agua dulce por) </t>
        </r>
        <r>
          <rPr>
            <b/>
            <sz val="8"/>
            <color indexed="81"/>
            <rFont val="Tahoma"/>
            <family val="2"/>
          </rPr>
          <t>Agricultura, ganadería, silvicultura y pesca (CIIU 01-03):</t>
        </r>
        <r>
          <rPr>
            <sz val="8"/>
            <color indexed="81"/>
            <rFont val="Tahoma"/>
            <family val="2"/>
          </rPr>
          <t xml:space="preserve">
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r>
      </text>
    </comment>
    <comment ref="D17" authorId="2" shapeId="0" xr:uid="{00000000-0006-0000-0500-000009000000}">
      <text>
        <r>
          <rPr>
            <b/>
            <sz val="8"/>
            <color indexed="81"/>
            <rFont val="Tahoma"/>
            <family val="2"/>
          </rPr>
          <t>Riego en agricultura</t>
        </r>
        <r>
          <rPr>
            <sz val="8"/>
            <color indexed="81"/>
            <rFont val="Tahoma"/>
            <family val="2"/>
          </rPr>
          <t>: Aplicación artificial de agua sobre la tierra para ayudar al crecimiento de los cultivos y pastizales.</t>
        </r>
        <r>
          <rPr>
            <sz val="9"/>
            <color indexed="81"/>
            <rFont val="Tahoma"/>
            <family val="2"/>
          </rPr>
          <t xml:space="preserve">
</t>
        </r>
      </text>
    </comment>
    <comment ref="D18" authorId="2" shapeId="0" xr:uid="{00000000-0006-0000-0500-00000A000000}">
      <text>
        <r>
          <rPr>
            <sz val="8"/>
            <color indexed="81"/>
            <rFont val="Tahoma"/>
            <family val="2"/>
          </rPr>
          <t xml:space="preserve">(Extracción de agua dulce por) </t>
        </r>
        <r>
          <rPr>
            <b/>
            <sz val="8"/>
            <color indexed="81"/>
            <rFont val="Tahoma"/>
            <family val="2"/>
          </rPr>
          <t>Explotación de minas y canteras (CIIU 05-09)</t>
        </r>
        <r>
          <rPr>
            <sz val="8"/>
            <color indexed="81"/>
            <rFont val="Tahoma"/>
            <family val="2"/>
          </rPr>
          <t>:
Volumen de agua extraída directamente de fuentes superficiales (ríos, lagos, embalses, etc., incluido el volumen de agua de lluvia recogida) y subterráneas por parte de las unidades económicas del grupo CIIU 05-09 para su propia utilización.</t>
        </r>
        <r>
          <rPr>
            <sz val="9"/>
            <color indexed="81"/>
            <rFont val="Tahoma"/>
            <family val="2"/>
          </rPr>
          <t xml:space="preserve">
</t>
        </r>
      </text>
    </comment>
    <comment ref="D19" authorId="0" shapeId="0" xr:uid="{00000000-0006-0000-0500-00000B000000}">
      <text>
        <r>
          <rPr>
            <sz val="8"/>
            <color indexed="81"/>
            <rFont val="Tahoma"/>
            <family val="2"/>
          </rPr>
          <t>(Extracción de agua dulce por)</t>
        </r>
        <r>
          <rPr>
            <b/>
            <sz val="8"/>
            <color indexed="81"/>
            <rFont val="Tahoma"/>
            <family val="2"/>
          </rPr>
          <t xml:space="preserve"> Industrias manufactureras (CIIU 10-33):</t>
        </r>
        <r>
          <rPr>
            <sz val="8"/>
            <color indexed="81"/>
            <rFont val="Tahoma"/>
            <family val="2"/>
          </rPr>
          <t xml:space="preserve">
Volumen de agua extraída directamente de fuentes superficiales (ríos, lagos, embalses, etc., incluido el volumen de agua de lluvia recogida) y subterráneas por parte de las unidades económicas del grupo CIIU 10-33 para su propia utilización.</t>
        </r>
      </text>
    </comment>
    <comment ref="D20" authorId="2" shapeId="0" xr:uid="{00000000-0006-0000-0500-00000C000000}">
      <text>
        <r>
          <rPr>
            <b/>
            <sz val="8"/>
            <color indexed="81"/>
            <rFont val="Tahoma"/>
            <family val="2"/>
          </rPr>
          <t xml:space="preserve">(Extracción de agua dulce por) Suministro de electricidad, gas, vapor y aire acondicionado (CIIU 35):
</t>
        </r>
        <r>
          <rPr>
            <sz val="8"/>
            <color indexed="81"/>
            <rFont val="Tahoma"/>
            <family val="2"/>
          </rPr>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r>
      </text>
    </comment>
    <comment ref="D21" authorId="0" shapeId="0" xr:uid="{00000000-0006-0000-0500-00000D000000}">
      <text>
        <r>
          <rPr>
            <sz val="8"/>
            <color indexed="81"/>
            <rFont val="Tahoma"/>
            <family val="2"/>
          </rPr>
          <t>(Extracción de agua dulce por)</t>
        </r>
        <r>
          <rPr>
            <b/>
            <sz val="8"/>
            <color indexed="81"/>
            <rFont val="Tahoma"/>
            <family val="2"/>
          </rPr>
          <t xml:space="preserve"> Industria de la energía eléctrica (CIIU 351):</t>
        </r>
        <r>
          <rPr>
            <sz val="8"/>
            <color indexed="81"/>
            <rFont val="Tahoma"/>
            <family val="2"/>
          </rPr>
          <t xml:space="preserve">
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r>
      </text>
    </comment>
    <comment ref="D22" authorId="2" shapeId="0" xr:uid="{00000000-0006-0000-0500-00000E000000}">
      <text>
        <r>
          <rPr>
            <sz val="8"/>
            <color indexed="81"/>
            <rFont val="Tahoma"/>
            <family val="2"/>
          </rPr>
          <t xml:space="preserve">(Extracción de agua dulce por) </t>
        </r>
        <r>
          <rPr>
            <b/>
            <sz val="8"/>
            <color indexed="81"/>
            <rFont val="Tahoma"/>
            <family val="2"/>
          </rPr>
          <t xml:space="preserve">Construcción:
</t>
        </r>
        <r>
          <rPr>
            <sz val="8"/>
            <color indexed="81"/>
            <rFont val="Tahoma"/>
            <family val="2"/>
          </rPr>
          <t>Volumen de agua extraída directamente de fuentes superficiales (ríos, lagos, embalses, etc., incluido el volumen de agua de lluvia recogida) y subterráneas por parte de las unidades económicas del grupo CIIU 41-43 para su propia utilización.</t>
        </r>
      </text>
    </comment>
    <comment ref="D23" authorId="0" shapeId="0" xr:uid="{00000000-0006-0000-0500-00000F000000}">
      <text>
        <r>
          <rPr>
            <sz val="8"/>
            <color indexed="81"/>
            <rFont val="Tahoma"/>
            <family val="2"/>
          </rPr>
          <t>(Extracción de agua dulce por)</t>
        </r>
        <r>
          <rPr>
            <b/>
            <sz val="8"/>
            <color indexed="81"/>
            <rFont val="Tahoma"/>
            <family val="2"/>
          </rPr>
          <t xml:space="preserve"> Otras actividades económicas:</t>
        </r>
        <r>
          <rPr>
            <sz val="8"/>
            <color indexed="81"/>
            <rFont val="Tahoma"/>
            <family val="2"/>
          </rPr>
          <t xml:space="preserve">
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r>
      </text>
    </comment>
    <comment ref="D24" authorId="0" shapeId="0" xr:uid="{00000000-0006-0000-0500-000010000000}">
      <text>
        <r>
          <rPr>
            <b/>
            <sz val="8"/>
            <color indexed="81"/>
            <rFont val="Tahoma"/>
            <family val="2"/>
          </rPr>
          <t>Agua desalinizada:</t>
        </r>
        <r>
          <rPr>
            <sz val="8"/>
            <color indexed="81"/>
            <rFont val="Tahoma"/>
            <family val="2"/>
          </rPr>
          <t xml:space="preserve">
Volumen total de agua obtenida mediante procesos de desalinización (es decir, la eliminación de sal) de agua de mar y agua salobre.</t>
        </r>
      </text>
    </comment>
    <comment ref="D25" authorId="0" shapeId="0" xr:uid="{00000000-0006-0000-0500-000011000000}">
      <text>
        <r>
          <rPr>
            <b/>
            <sz val="8"/>
            <color indexed="81"/>
            <rFont val="Tahoma"/>
            <family val="2"/>
          </rPr>
          <t>Agua reutilizada:</t>
        </r>
        <r>
          <rPr>
            <sz val="8"/>
            <color indexed="81"/>
            <rFont val="Tahoma"/>
            <family val="2"/>
          </rPr>
          <t xml:space="preserve">
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r>
      </text>
    </comment>
    <comment ref="D26" authorId="0" shapeId="0" xr:uid="{00000000-0006-0000-0500-000012000000}">
      <text>
        <r>
          <rPr>
            <b/>
            <sz val="8"/>
            <color indexed="81"/>
            <rFont val="Tahoma"/>
            <family val="2"/>
          </rPr>
          <t>Importaciones de agua:</t>
        </r>
        <r>
          <rPr>
            <sz val="8"/>
            <color indexed="81"/>
            <rFont val="Tahoma"/>
            <family val="2"/>
          </rPr>
          <t xml:space="preserve">
Volumen total de agua a granel que se importa como producto de otros países a través de tuberías o en barcos o camiones. Se excluye el agua embotellada.</t>
        </r>
      </text>
    </comment>
    <comment ref="D27" authorId="0" shapeId="0" xr:uid="{00000000-0006-0000-0500-000013000000}">
      <text>
        <r>
          <rPr>
            <b/>
            <sz val="8"/>
            <color indexed="81"/>
            <rFont val="Tahoma"/>
            <family val="2"/>
          </rPr>
          <t>Exportaciones de agua:</t>
        </r>
        <r>
          <rPr>
            <sz val="8"/>
            <color indexed="81"/>
            <rFont val="Tahoma"/>
            <family val="2"/>
          </rPr>
          <t xml:space="preserve">
Volumen total de agua a granel que se exporta como producto a otros países a través de tuberías o en barcos o camiones. Se excluye el agua embotellada.</t>
        </r>
      </text>
    </comment>
    <comment ref="D28" authorId="0" shapeId="0" xr:uid="{00000000-0006-0000-0500-000014000000}">
      <text>
        <r>
          <rPr>
            <b/>
            <sz val="8"/>
            <color indexed="8"/>
            <rFont val="Tahoma"/>
            <family val="2"/>
          </rPr>
          <t>Total de agua dulce disponible para utilización:</t>
        </r>
        <r>
          <rPr>
            <sz val="8"/>
            <color indexed="8"/>
            <rFont val="Tahoma"/>
            <family val="2"/>
          </rPr>
          <t xml:space="preserve">
</t>
        </r>
        <r>
          <rPr>
            <sz val="8"/>
            <color indexed="8"/>
            <rFont val="Tahoma"/>
            <family val="2"/>
          </rPr>
          <t xml:space="preserve"> = Agua dulce extraída + agua desalinizada + agua reutilizada + importación de agua - exportación de agua.</t>
        </r>
      </text>
    </comment>
    <comment ref="D29" authorId="0" shapeId="0" xr:uid="{00000000-0006-0000-0500-000015000000}">
      <text>
        <r>
          <rPr>
            <b/>
            <sz val="8"/>
            <color indexed="8"/>
            <rFont val="Tahoma"/>
            <family val="2"/>
          </rPr>
          <t>Pérdidas durante el transporte :</t>
        </r>
        <r>
          <rPr>
            <sz val="8"/>
            <color indexed="8"/>
            <rFont val="Tahoma"/>
            <family val="2"/>
          </rPr>
          <t xml:space="preserve">
Volumen de agua perdida durante el transporte entre un punto de extracción y un punto de utilización, y entre puntos de utilización y reutilización. Se incluyen las pérdidas por fugas y la evaporación, y deben ser inferiores o iguales a la tabla W2, línea 21.</t>
        </r>
      </text>
    </comment>
    <comment ref="D30" authorId="0" shapeId="0" xr:uid="{00000000-0006-0000-0500-000016000000}">
      <text>
        <r>
          <rPr>
            <b/>
            <sz val="8"/>
            <color indexed="8"/>
            <rFont val="Tahoma"/>
            <family val="2"/>
          </rPr>
          <t>Utilización de agua dulce total:</t>
        </r>
        <r>
          <rPr>
            <sz val="8"/>
            <color indexed="8"/>
            <rFont val="Tahoma"/>
            <family val="2"/>
          </rPr>
          <t xml:space="preserve">
</t>
        </r>
        <r>
          <rPr>
            <sz val="8"/>
            <color indexed="8"/>
            <rFont val="Tahoma"/>
            <family val="2"/>
          </rPr>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r>
      </text>
    </comment>
    <comment ref="D32" authorId="0" shapeId="0" xr:uid="{00000000-0006-0000-0500-000017000000}">
      <text>
        <r>
          <rPr>
            <sz val="8"/>
            <color indexed="8"/>
            <rFont val="Tahoma"/>
            <family val="2"/>
          </rPr>
          <t xml:space="preserve">(Agua dulce utilizada por) </t>
        </r>
        <r>
          <rPr>
            <b/>
            <sz val="8"/>
            <color indexed="8"/>
            <rFont val="Tahoma"/>
            <family val="2"/>
          </rPr>
          <t>Hogares:</t>
        </r>
        <r>
          <rPr>
            <sz val="8"/>
            <color indexed="8"/>
            <rFont val="Tahoma"/>
            <family val="2"/>
          </rPr>
          <t xml:space="preserve">
</t>
        </r>
        <r>
          <rPr>
            <sz val="8"/>
            <color indexed="8"/>
            <rFont val="Tahoma"/>
            <family val="2"/>
          </rPr>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r>
      </text>
    </comment>
    <comment ref="D33" authorId="0" shapeId="0" xr:uid="{00000000-0006-0000-0500-000018000000}">
      <text>
        <r>
          <rPr>
            <sz val="8"/>
            <color indexed="81"/>
            <rFont val="Tahoma"/>
            <family val="2"/>
          </rPr>
          <t>(Agua dulce utilizada por)</t>
        </r>
        <r>
          <rPr>
            <b/>
            <sz val="8"/>
            <color indexed="81"/>
            <rFont val="Tahoma"/>
            <family val="2"/>
          </rPr>
          <t xml:space="preserve"> Agricultura, ganadería, silvicultura y pesca (CIIU 01-03):</t>
        </r>
        <r>
          <rPr>
            <sz val="8"/>
            <color indexed="81"/>
            <rFont val="Tahoma"/>
            <family val="2"/>
          </rPr>
          <t xml:space="preserve">
Volumen de agua utilizada por las actividades económicas pertenecientes a la agricultura, la ganadería, la silvicultura y la pesca (CIIU 01-03), ya sea extraída directamente de las fuentes de agua para su propia utilización o provista por la industria del suministro de agua.</t>
        </r>
      </text>
    </comment>
    <comment ref="D34" authorId="0" shapeId="0" xr:uid="{00000000-0006-0000-0500-000019000000}">
      <text>
        <r>
          <rPr>
            <b/>
            <sz val="8"/>
            <color indexed="81"/>
            <rFont val="Tahoma"/>
            <family val="2"/>
          </rPr>
          <t>Riego en agricultura:</t>
        </r>
        <r>
          <rPr>
            <sz val="8"/>
            <color indexed="81"/>
            <rFont val="Tahoma"/>
            <family val="2"/>
          </rPr>
          <t xml:space="preserve">
Aplicación artificial de agua sobre la tierra para ayudar al crecimiento de los cultivos y pastizales.</t>
        </r>
      </text>
    </comment>
    <comment ref="D35" authorId="2" shapeId="0" xr:uid="{00000000-0006-0000-0500-00001A000000}">
      <text>
        <r>
          <rPr>
            <sz val="8"/>
            <color indexed="8"/>
            <rFont val="Tahoma"/>
            <family val="2"/>
          </rPr>
          <t xml:space="preserve">(Agua dulce utilizada por) </t>
        </r>
        <r>
          <rPr>
            <b/>
            <sz val="8"/>
            <color indexed="8"/>
            <rFont val="Tahoma"/>
            <family val="2"/>
          </rPr>
          <t xml:space="preserve">Explotación de minas y canteras (ISIC 05-09):
</t>
        </r>
        <r>
          <rPr>
            <sz val="8"/>
            <color indexed="8"/>
            <rFont val="Tahoma"/>
            <family val="2"/>
          </rPr>
          <t>Volumen de agua utilizada por las actividades económicas pertenecientes a las industrias Explotación de minas y canteras (ISIC 05-09), ya sea extraída directamente de las fuentes de agua para su propia utilización o provista por la industria del suministro de agua.</t>
        </r>
      </text>
    </comment>
    <comment ref="D36" authorId="0" shapeId="0" xr:uid="{00000000-0006-0000-0500-00001B000000}">
      <text>
        <r>
          <rPr>
            <sz val="8"/>
            <color indexed="81"/>
            <rFont val="Tahoma"/>
            <family val="2"/>
          </rPr>
          <t xml:space="preserve">(Agua dulce utilizada por) </t>
        </r>
        <r>
          <rPr>
            <b/>
            <sz val="8"/>
            <color indexed="81"/>
            <rFont val="Tahoma"/>
            <family val="2"/>
          </rPr>
          <t>Industrias manufactureras (CIIU 10-33):</t>
        </r>
        <r>
          <rPr>
            <sz val="8"/>
            <color indexed="81"/>
            <rFont val="Tahoma"/>
            <family val="2"/>
          </rPr>
          <t xml:space="preserve">
Volumen de agua utilizada por las actividades económicas pertenecientes a las industrias manufactureras (CIIU 10-33), ya sea extraída directamente de las fuentes de agua para su propia utilización o provista por la industria del suministro de agua.</t>
        </r>
      </text>
    </comment>
    <comment ref="D37" authorId="2" shapeId="0" xr:uid="{00000000-0006-0000-0500-00001C000000}">
      <text>
        <r>
          <rPr>
            <sz val="8"/>
            <color indexed="81"/>
            <rFont val="Tahoma"/>
            <family val="2"/>
          </rPr>
          <t xml:space="preserve">(Agua dulce utilizada por) </t>
        </r>
        <r>
          <rPr>
            <b/>
            <sz val="8"/>
            <color indexed="81"/>
            <rFont val="Tahoma"/>
            <family val="2"/>
          </rPr>
          <t xml:space="preserve">Suministro de electricidad, gas, vapor y aire acondicionado (CIIU 35):
</t>
        </r>
        <r>
          <rPr>
            <sz val="8"/>
            <color indexed="81"/>
            <rFont val="Tahoma"/>
            <family val="2"/>
          </rPr>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r>
      </text>
    </comment>
    <comment ref="D38" authorId="0" shapeId="0" xr:uid="{00000000-0006-0000-0500-00001D000000}">
      <text>
        <r>
          <rPr>
            <sz val="8"/>
            <color indexed="81"/>
            <rFont val="Tahoma"/>
            <family val="2"/>
          </rPr>
          <t xml:space="preserve">(Agua dulce utilizada por) </t>
        </r>
        <r>
          <rPr>
            <b/>
            <sz val="8"/>
            <color indexed="81"/>
            <rFont val="Tahoma"/>
            <family val="2"/>
          </rPr>
          <t>Industria de la energía eléctrica (CIIU 351)</t>
        </r>
        <r>
          <rPr>
            <b/>
            <sz val="8"/>
            <color indexed="81"/>
            <rFont val="Tahoma"/>
            <family val="2"/>
          </rPr>
          <t>:</t>
        </r>
        <r>
          <rPr>
            <sz val="8"/>
            <color indexed="81"/>
            <rFont val="Tahoma"/>
            <family val="2"/>
          </rPr>
          <t xml:space="preserve">
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r>
      </text>
    </comment>
    <comment ref="D39" authorId="2" shapeId="0" xr:uid="{00000000-0006-0000-0500-00001E000000}">
      <text>
        <r>
          <rPr>
            <sz val="8"/>
            <color indexed="81"/>
            <rFont val="Tahoma"/>
            <family val="2"/>
          </rPr>
          <t xml:space="preserve">(Agua dulce utilizada por) </t>
        </r>
        <r>
          <rPr>
            <b/>
            <sz val="8"/>
            <color indexed="81"/>
            <rFont val="Tahoma"/>
            <family val="2"/>
          </rPr>
          <t>Construcción (CIIU 41-43)</t>
        </r>
        <r>
          <rPr>
            <sz val="8"/>
            <color indexed="81"/>
            <rFont val="Tahoma"/>
            <family val="2"/>
          </rPr>
          <t>: 
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r>
      </text>
    </comment>
    <comment ref="D40" authorId="0" shapeId="0" xr:uid="{00000000-0006-0000-0500-00001F000000}">
      <text>
        <r>
          <rPr>
            <sz val="8"/>
            <color indexed="81"/>
            <rFont val="Tahoma"/>
            <family val="2"/>
          </rPr>
          <t xml:space="preserve">(Agua dulce utilizada por) </t>
        </r>
        <r>
          <rPr>
            <b/>
            <sz val="8"/>
            <color indexed="81"/>
            <rFont val="Tahoma"/>
            <family val="2"/>
          </rPr>
          <t>Otras actividades económicas:</t>
        </r>
        <r>
          <rPr>
            <sz val="8"/>
            <color indexed="81"/>
            <rFont val="Tahoma"/>
            <family val="2"/>
          </rPr>
          <t xml:space="preserve">
Volumen de agua utilizada por las restantes actividades económicas no mencionadas anteriormente, ya sea extraída directamente de las fuentes de agua para su propia utilización o provista por la industria del suministro de agua.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User.Stat3</author>
    <author>Jeremy Webb</author>
    <author>United Nations</author>
  </authors>
  <commentList>
    <comment ref="D8" authorId="0" shapeId="0" xr:uid="{00000000-0006-0000-0600-000001000000}">
      <text>
        <r>
          <rPr>
            <b/>
            <sz val="8"/>
            <color indexed="81"/>
            <rFont val="Tahoma"/>
            <family val="2"/>
          </rPr>
          <t xml:space="preserve">Cantidad bruta de agua dulce provista por la industria del suministro de agua (CIIU 36):
</t>
        </r>
        <r>
          <rPr>
            <sz val="8"/>
            <color indexed="81"/>
            <rFont val="Tahoma"/>
            <family val="2"/>
          </rPr>
          <t>Agua provista por la industria del suministro de agua al usuario. Incluye las pérdidas durante el transporte. Se excluye el agua provista por la industria del suministro de agua para la operación de los canales de irrigación.)</t>
        </r>
      </text>
    </comment>
    <comment ref="D9" authorId="1" shapeId="0" xr:uid="{00000000-0006-0000-0600-000002000000}">
      <text>
        <r>
          <rPr>
            <b/>
            <sz val="8"/>
            <color indexed="8"/>
            <rFont val="Tahoma"/>
            <family val="2"/>
          </rPr>
          <t>Pérdidas durante el transporte (CIIU 36):</t>
        </r>
        <r>
          <rPr>
            <sz val="8"/>
            <color indexed="8"/>
            <rFont val="Tahoma"/>
            <family val="2"/>
          </rPr>
          <t xml:space="preserve">
Volumen de agua perdida durante el transporte entre un punto de extracción y un punto de utilización, y entre puntos de utilización y reutilización. Se incluyen las pérdidas por fugas y la evaporación.
Esto debe ser menor o igual a las pérdidas durante el transporte (W2, Línea 21).</t>
        </r>
      </text>
    </comment>
    <comment ref="D10" authorId="0" shapeId="0" xr:uid="{00000000-0006-0000-0600-000003000000}">
      <text>
        <r>
          <rPr>
            <b/>
            <sz val="8"/>
            <color indexed="81"/>
            <rFont val="Tahoma"/>
            <family val="2"/>
          </rPr>
          <t xml:space="preserve">Cantidad neta de agua dulce provista por la industria del suministro de agua (CIIU 36):
</t>
        </r>
        <r>
          <rPr>
            <sz val="8"/>
            <color indexed="81"/>
            <rFont val="Tahoma"/>
            <family val="2"/>
          </rPr>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r>
      </text>
    </comment>
    <comment ref="D21" authorId="0" shapeId="0" xr:uid="{00000000-0006-0000-0600-000004000000}">
      <text>
        <r>
          <rPr>
            <b/>
            <sz val="8"/>
            <color indexed="81"/>
            <rFont val="Tahoma"/>
            <family val="2"/>
          </rPr>
          <t>Total de población abastecida por la industria del suministro de agua (CIIU 36):</t>
        </r>
        <r>
          <rPr>
            <sz val="8"/>
            <color indexed="81"/>
            <rFont val="Tahoma"/>
            <family val="2"/>
          </rPr>
          <t xml:space="preserve">
Porcentaje del total de la población residente que utiliza agua provista por la industria del suministro de agua (CIIU 36).</t>
        </r>
      </text>
    </comment>
    <comment ref="D22" authorId="2" shapeId="0" xr:uid="{00000000-0006-0000-0600-000005000000}">
      <text>
        <r>
          <rPr>
            <b/>
            <sz val="8"/>
            <color indexed="81"/>
            <rFont val="Tahoma"/>
            <family val="2"/>
          </rPr>
          <t xml:space="preserve">Población urbana abastecida por la industria del suministro de agua (CIIU 36):
</t>
        </r>
        <r>
          <rPr>
            <sz val="8"/>
            <color indexed="81"/>
            <rFont val="Tahoma"/>
            <family val="2"/>
          </rPr>
          <t>Porcentaje de la población urbana que utiliza agua provista por la industria del suministro de agua (CIIU 36).</t>
        </r>
      </text>
    </comment>
    <comment ref="D23" authorId="2" shapeId="0" xr:uid="{00000000-0006-0000-0600-000006000000}">
      <text>
        <r>
          <rPr>
            <b/>
            <sz val="8"/>
            <color indexed="81"/>
            <rFont val="Tahoma"/>
            <family val="2"/>
          </rPr>
          <t xml:space="preserve">Población rural abastecida por la industria del suministro de agua (CIIU 36):
</t>
        </r>
        <r>
          <rPr>
            <sz val="8"/>
            <color indexed="81"/>
            <rFont val="Tahoma"/>
            <family val="2"/>
          </rPr>
          <t>Porcentaje de la población rural que utiliza agua provista por la industria del suministro de agua (CIIU 36).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Reena Shah</author>
    <author>United Nations</author>
    <author>User.Stat3</author>
  </authors>
  <commentList>
    <comment ref="D8" authorId="0" shapeId="0" xr:uid="{00000000-0006-0000-0700-000001000000}">
      <text>
        <r>
          <rPr>
            <b/>
            <sz val="8"/>
            <color indexed="81"/>
            <rFont val="Tahoma"/>
            <family val="2"/>
          </rPr>
          <t xml:space="preserve">Total de aguas residuales generadas:
</t>
        </r>
        <r>
          <rPr>
            <sz val="8"/>
            <color indexed="81"/>
            <rFont val="Tahoma"/>
            <family val="2"/>
          </rPr>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r>
      </text>
    </comment>
    <comment ref="D15" authorId="0" shapeId="0" xr:uid="{00000000-0006-0000-0700-000002000000}">
      <text>
        <r>
          <rPr>
            <sz val="8"/>
            <color indexed="81"/>
            <rFont val="Tahoma"/>
            <family val="2"/>
          </rPr>
          <t xml:space="preserve">(Aguas residuales generadas por) </t>
        </r>
        <r>
          <rPr>
            <b/>
            <sz val="8"/>
            <color indexed="81"/>
            <rFont val="Tahoma"/>
            <family val="2"/>
          </rPr>
          <t xml:space="preserve">Otras actividades económicas:
</t>
        </r>
        <r>
          <rPr>
            <sz val="8"/>
            <color indexed="81"/>
            <rFont val="Tahoma"/>
            <family val="2"/>
          </rPr>
          <t>Excluidas las aguas residuales generadas por la categoría CIIU 37 (alcantarillado).</t>
        </r>
      </text>
    </comment>
    <comment ref="D17" authorId="1" shapeId="0" xr:uid="{00000000-0006-0000-0700-000003000000}">
      <text>
        <r>
          <rPr>
            <b/>
            <sz val="8"/>
            <color indexed="81"/>
            <rFont val="Tahoma"/>
            <family val="2"/>
          </rPr>
          <t>Tratamiento de aguas residuales urbanas:</t>
        </r>
        <r>
          <rPr>
            <sz val="8"/>
            <color indexed="81"/>
            <rFont val="Tahoma"/>
            <family val="2"/>
          </rPr>
          <t xml:space="preserve">
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r>
      </text>
    </comment>
    <comment ref="D18" authorId="1" shapeId="0" xr:uid="{00000000-0006-0000-0700-000004000000}">
      <text>
        <r>
          <rPr>
            <b/>
            <sz val="8"/>
            <color indexed="81"/>
            <rFont val="Tahoma"/>
            <family val="2"/>
          </rPr>
          <t>Tratamiento primario de aguas residuales:</t>
        </r>
        <r>
          <rPr>
            <sz val="8"/>
            <color indexed="81"/>
            <rFont val="Tahoma"/>
            <family val="2"/>
          </rPr>
          <t xml:space="preserve">
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9" authorId="1" shapeId="0" xr:uid="{00000000-0006-0000-0700-000005000000}">
      <text>
        <r>
          <rPr>
            <b/>
            <sz val="8"/>
            <color indexed="81"/>
            <rFont val="Tahoma"/>
            <family val="2"/>
          </rPr>
          <t>Tratamiento secundario de aguas residuales:</t>
        </r>
        <r>
          <rPr>
            <sz val="8"/>
            <color indexed="81"/>
            <rFont val="Tahoma"/>
            <family val="2"/>
          </rPr>
          <t xml:space="preserve">
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0" authorId="1" shapeId="0" xr:uid="{00000000-0006-0000-0700-000006000000}">
      <text>
        <r>
          <rPr>
            <b/>
            <sz val="8"/>
            <color indexed="81"/>
            <rFont val="Tahoma"/>
            <family val="2"/>
          </rPr>
          <t xml:space="preserve">Tratamiento terciario de aguas residuales:
</t>
        </r>
        <r>
          <rPr>
            <sz val="8"/>
            <color indexed="81"/>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1" authorId="1" shapeId="0" xr:uid="{00000000-0006-0000-0700-000007000000}">
      <text>
        <r>
          <rPr>
            <b/>
            <sz val="8"/>
            <color indexed="81"/>
            <rFont val="Tahoma"/>
            <family val="2"/>
          </rPr>
          <t>Otras formas de tratamiento de aguas residuales:</t>
        </r>
        <r>
          <rPr>
            <sz val="8"/>
            <color indexed="81"/>
            <rFont val="Tahoma"/>
            <family val="2"/>
          </rPr>
          <t xml:space="preserve">
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r>
      </text>
    </comment>
    <comment ref="D22" authorId="1" shapeId="0" xr:uid="{00000000-0006-0000-0700-000008000000}">
      <text>
        <r>
          <rPr>
            <b/>
            <sz val="8"/>
            <color indexed="81"/>
            <rFont val="Tahoma"/>
            <family val="2"/>
          </rPr>
          <t xml:space="preserve">Tratamiento primario de aguas residuales:
</t>
        </r>
        <r>
          <rPr>
            <sz val="8"/>
            <color indexed="81"/>
            <rFont val="Tahoma"/>
            <family val="2"/>
          </rPr>
          <t>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23" authorId="1" shapeId="0" xr:uid="{00000000-0006-0000-0700-000009000000}">
      <text>
        <r>
          <rPr>
            <b/>
            <sz val="8"/>
            <color indexed="81"/>
            <rFont val="Tahoma"/>
            <family val="2"/>
          </rPr>
          <t xml:space="preserve">Tratamiento secundario de aguas residuales:
</t>
        </r>
        <r>
          <rPr>
            <sz val="8"/>
            <color indexed="81"/>
            <rFont val="Tahoma"/>
            <family val="2"/>
          </rPr>
          <t>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4" authorId="1" shapeId="0" xr:uid="{00000000-0006-0000-0700-00000A000000}">
      <text>
        <r>
          <rPr>
            <b/>
            <sz val="8"/>
            <color indexed="81"/>
            <rFont val="Tahoma"/>
            <family val="2"/>
          </rPr>
          <t xml:space="preserve">Tratamiento terciario de aguas residuales:
</t>
        </r>
        <r>
          <rPr>
            <sz val="8"/>
            <color indexed="81"/>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5" authorId="1" shapeId="0" xr:uid="{00000000-0006-0000-0700-00000B000000}">
      <text>
        <r>
          <rPr>
            <b/>
            <sz val="8"/>
            <color indexed="81"/>
            <rFont val="Tahoma"/>
            <family val="2"/>
          </rPr>
          <t>Tratamiento independiente de aguas residuales:</t>
        </r>
        <r>
          <rPr>
            <sz val="8"/>
            <color indexed="81"/>
            <rFont val="Tahoma"/>
            <family val="2"/>
          </rPr>
          <t xml:space="preserve">
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r>
      </text>
    </comment>
    <comment ref="D27" authorId="2" shapeId="0" xr:uid="{00000000-0006-0000-0700-00000C000000}">
      <text>
        <r>
          <rPr>
            <b/>
            <sz val="8"/>
            <color indexed="81"/>
            <rFont val="Tahoma"/>
            <family val="2"/>
          </rPr>
          <t>Producción total de lodo de aguas residuales (material seco):</t>
        </r>
        <r>
          <rPr>
            <sz val="8"/>
            <color indexed="81"/>
            <rFont val="Tahoma"/>
            <family val="2"/>
          </rPr>
          <t xml:space="preserve">
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User.Stat3</author>
  </authors>
  <commentList>
    <comment ref="D8" authorId="0" shapeId="0" xr:uid="{00000000-0006-0000-0800-000001000000}">
      <text>
        <r>
          <rPr>
            <b/>
            <sz val="8"/>
            <color indexed="81"/>
            <rFont val="Tahoma"/>
            <family val="2"/>
          </rPr>
          <t>Población conectada a un sistema de captación de aguas residuales :</t>
        </r>
        <r>
          <rPr>
            <sz val="8"/>
            <color indexed="81"/>
            <rFont val="Tahoma"/>
            <family val="2"/>
          </rPr>
          <t xml:space="preserve">
Porcentaje de la población residente conectado a un sistema de captación de aguas residuales (alcantarillado). Los sistemas de captación de aguas residuales pueden enviarlas a las plantas de tratamiento o descargarlas sin tratamiento previo en el medio ambiente.</t>
        </r>
      </text>
    </comment>
    <comment ref="D9" authorId="0" shapeId="0" xr:uid="{00000000-0006-0000-0800-000002000000}">
      <text>
        <r>
          <rPr>
            <b/>
            <sz val="8"/>
            <color indexed="81"/>
            <rFont val="Tahoma"/>
            <family val="2"/>
          </rPr>
          <t>Población conectada a servicios de tratamiento de aguas residuales:</t>
        </r>
        <r>
          <rPr>
            <sz val="8"/>
            <color indexed="81"/>
            <rFont val="Tahoma"/>
            <family val="2"/>
          </rPr>
          <t xml:space="preserve">
Porcentaje de la población residente cuyas aguas residuales se tratan en plantas de tratamiento de aguas residuales.</t>
        </r>
      </text>
    </comment>
    <comment ref="D11" authorId="0" shapeId="0" xr:uid="{00000000-0006-0000-0800-000003000000}">
      <text>
        <r>
          <rPr>
            <b/>
            <sz val="8"/>
            <color indexed="81"/>
            <rFont val="Tahoma"/>
            <family val="2"/>
          </rPr>
          <t xml:space="preserve">Población con tratamiento de aguas residuales independientes (por ejemplo, fosas sépticas):
</t>
        </r>
        <r>
          <rPr>
            <sz val="8"/>
            <color indexed="81"/>
            <rFont val="Tahoma"/>
            <family val="2"/>
          </rPr>
          <t>Porcentaje de la población residente cuyas aguas residuales se tratan en instalaciones separadas, a menudo privadas, como fosas sépticas.</t>
        </r>
      </text>
    </comment>
    <comment ref="D12" authorId="0" shapeId="0" xr:uid="{00000000-0006-0000-0800-000004000000}">
      <text>
        <r>
          <rPr>
            <b/>
            <sz val="8"/>
            <color indexed="81"/>
            <rFont val="Tahoma"/>
            <family val="2"/>
          </rPr>
          <t>Población no conectada a un sistema de tratamiento de aguas residuales:</t>
        </r>
        <r>
          <rPr>
            <sz val="8"/>
            <color indexed="81"/>
            <rFont val="Tahoma"/>
            <family val="2"/>
          </rPr>
          <t xml:space="preserve">
Porcentaje de la población residente cuyas aguas residuales no se tratan ni en plantas de tratamiento urbanas ni en instalaciones independientes de tratamiento.</t>
        </r>
      </text>
    </comment>
  </commentList>
</comments>
</file>

<file path=xl/sharedStrings.xml><?xml version="1.0" encoding="utf-8"?>
<sst xmlns="http://schemas.openxmlformats.org/spreadsheetml/2006/main" count="1627" uniqueCount="704">
  <si>
    <t>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</si>
  <si>
    <t>Importaciones de agua</t>
  </si>
  <si>
    <t>Volumen total de agua a granel que se importa como producto de otros países a través de tuberías o en barcos o camiones. Se excluye el agua embotellada.</t>
  </si>
  <si>
    <t>Exportaciones de agua</t>
  </si>
  <si>
    <t>Volumen total de agua a granel que se exporta como producto a otros países a través de tuberías o en barcos o camiones. Se excluye el agua embotellada.</t>
  </si>
  <si>
    <t xml:space="preserve">Pérdidas durante el transporte </t>
  </si>
  <si>
    <t>Utilización de agua dulce total</t>
  </si>
  <si>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</si>
  <si>
    <r>
      <t xml:space="preserve">(Agua dulce utilizada por) </t>
    </r>
    <r>
      <rPr>
        <b/>
        <sz val="10"/>
        <rFont val="Arial"/>
        <family val="2"/>
      </rPr>
      <t>Hogares</t>
    </r>
  </si>
  <si>
    <t>Aplicación artificial de agua sobre la tierra para ayudar al crecimiento de los cultivos y pastizales.</t>
  </si>
  <si>
    <r>
      <t xml:space="preserve">(Agua dulce utilizada por) </t>
    </r>
    <r>
      <rPr>
        <b/>
        <sz val="10"/>
        <rFont val="Arial"/>
        <family val="2"/>
      </rPr>
      <t>Industrias manufactureras (CIIU 10-33)</t>
    </r>
  </si>
  <si>
    <r>
      <t>(Agua dulce utilizada por)</t>
    </r>
    <r>
      <rPr>
        <b/>
        <sz val="10"/>
        <rFont val="Arial"/>
        <family val="2"/>
      </rPr>
      <t xml:space="preserve"> Industria de la energía eléctrica (CIIU 351)</t>
    </r>
  </si>
  <si>
    <r>
      <t>(Agua dulce utilizada por)</t>
    </r>
    <r>
      <rPr>
        <b/>
        <sz val="10"/>
        <rFont val="Arial"/>
        <family val="2"/>
      </rPr>
      <t xml:space="preserve"> Otras actividades económicas</t>
    </r>
  </si>
  <si>
    <t>Cuadro W3: Industria del suministro de agua (CIIU 36)</t>
  </si>
  <si>
    <t>Cuadro W4: Generación y tratamiento de aguas residuales</t>
  </si>
  <si>
    <t xml:space="preserve">La parte de la población residente conectada a servicios públicos urbanos de captación de aguas residuales, a instalaciones públicas urbanas de tratamiento de aguas residuales y a instalaciones de tratamiento independientes indica la cobertura y el nivel de saneamiento.   </t>
  </si>
  <si>
    <t>Cuadro W5: Población conectada a servicios de tratamiento de aguas residuales</t>
  </si>
  <si>
    <t>Cuadro W6: Hoja de información complementaria</t>
  </si>
  <si>
    <t>Para convertir</t>
  </si>
  <si>
    <t>A</t>
  </si>
  <si>
    <t>Multiplicar por</t>
  </si>
  <si>
    <t>galones (Reino Unido)</t>
  </si>
  <si>
    <t>galones (EE.UU.)</t>
  </si>
  <si>
    <t>litros (l)</t>
  </si>
  <si>
    <t>Clasificación industrial</t>
  </si>
  <si>
    <t>CIIU Rev.4</t>
  </si>
  <si>
    <t>Industria del suministro de agua</t>
  </si>
  <si>
    <t>Agricultura, ganadería, silvicultura y pesca</t>
  </si>
  <si>
    <t>Industrias manufactureras</t>
  </si>
  <si>
    <t>Industria de la energía eléctrica</t>
  </si>
  <si>
    <t>Generación, transmisión y distribución de energía eléctrica.</t>
  </si>
  <si>
    <t>Cuadro</t>
  </si>
  <si>
    <t>Término</t>
  </si>
  <si>
    <t>Precipitación</t>
  </si>
  <si>
    <t>Abreviatura utilizada en este cuestionario</t>
  </si>
  <si>
    <r>
      <t xml:space="preserve">La industria de </t>
    </r>
    <r>
      <rPr>
        <b/>
        <sz val="10"/>
        <rFont val="Arial"/>
        <family val="2"/>
      </rPr>
      <t>captación, tratamiento y distribución de agua</t>
    </r>
    <r>
      <rPr>
        <sz val="10"/>
        <rFont val="Arial"/>
        <family val="2"/>
      </rPr>
      <t xml:space="preserve"> incluye la captación, el tratamiento y el suministro de agua para necesidades domésticas e industriales. También se incluye la captación de agua a partir de varias fuentes, así como su distribución por diversos medios.</t>
    </r>
  </si>
  <si>
    <t xml:space="preserve">Tratamiento de aguas residuales (alcantarillado)         </t>
  </si>
  <si>
    <r>
      <t xml:space="preserve">La industria de la </t>
    </r>
    <r>
      <rPr>
        <b/>
        <sz val="10"/>
        <rFont val="Arial"/>
        <family val="2"/>
      </rPr>
      <t>evacuación</t>
    </r>
    <r>
      <rPr>
        <sz val="10"/>
        <rFont val="Arial"/>
        <family val="2"/>
      </rPr>
      <t xml:space="preserve"> comprende las siguientes actividades:
- gestión de sistemas de alcantarillado y de instalaciones de tratamiento de aguas residuales
- recogida y transporte de aguas residuales humanas o industriales de uno o diversos usuarios, así como de agua de lluvia, por medio de redes de alcantarillado, colectores, tanques y otros medios de transporte (camiones cisterna de recogida de aguas negras, etcétera)
- vaciado y limpieza de pozos negros y fosas sépticas, fosos y pozos de alcantarillados; mantenimiento de inodoros de acción química
- tratamiento de aguas residuales (incluidas aguas residuales humanas e industriales, agua de piscinas, etc.) mediante procesos físicos, químicos y biológicos, como los de dilución, cribado, filtrado, sedimentación, etc.
- mantenimiento y limpieza de cloacas y alcantarillas, incluido el desatasco de cloacas</t>
    </r>
  </si>
  <si>
    <t>Volumen total de la escorrentía fluvial y las aguas subterráneas generadas en el período de un año, en condiciones naturales, causadas exclusivamente por precipitaciones en un país.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</si>
  <si>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 xml:space="preserve"> = flujo interno + caudal de entrada de aguas superficiales y subterráneas procedente de países vecinos.</t>
  </si>
  <si>
    <t>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</si>
  <si>
    <t>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</si>
  <si>
    <t>Volumen de agua extraída directamente de fuentes superficiales (ríos, lagos, embalses, etc., incluido el volumen de agua de lluvia recogida) y subterráneas por parte de las unidades económicas del grupo CIIU 10-33 para su propia utilización.</t>
  </si>
  <si>
    <t>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</si>
  <si>
    <t>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</si>
  <si>
    <t>Total de agua dulce disponible para utilización</t>
  </si>
  <si>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</si>
  <si>
    <t>Cantidad bruta de agua dulce provista por la industria del suministro de agua (CIIU 36)</t>
  </si>
  <si>
    <t>Cantidad neta de agua dulce provista por la industria del suministro de agua (CIIU 36)</t>
  </si>
  <si>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</si>
  <si>
    <r>
      <t>Tratamiento de aguas residuales por medio de procesos físicos, químicos o ambos, relacionados con la sedimentación de sólidos en suspensión u otros procesos por medio de los cuales se reducen de las aguas residuales entrantes la demanda bioquímica de oxígeno (DBO</t>
    </r>
    <r>
      <rPr>
        <vertAlign val="subscript"/>
        <sz val="10"/>
        <rFont val="Arial"/>
        <family val="2"/>
      </rPr>
      <t>5</t>
    </r>
    <r>
      <rPr>
        <sz val="10"/>
        <rFont val="Arial"/>
        <family val="2"/>
      </rPr>
      <t>)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</si>
  <si>
    <r>
      <t>Tratamiento de aguas residuales posterior al tratamiento primario por medio de un tratamiento generalmente biológico u otro secundario, u otros procesos, que obtengan una reducción de la demanda bioquímica de oxígeno (DBO</t>
    </r>
    <r>
      <rPr>
        <vertAlign val="subscript"/>
        <sz val="10"/>
        <rFont val="Arial"/>
        <family val="2"/>
      </rPr>
      <t>5</t>
    </r>
    <r>
      <rPr>
        <sz val="10"/>
        <rFont val="Arial"/>
        <family val="2"/>
      </rPr>
      <t xml:space="preserve">) al menos del 70% y de la demanda química de oxígeno (DQO) al menos del 75%. Para evitar la doble contabilidad, en casos de agua sometida a más de un tipo de tratamiento, debe informarse sólo en el campo correspondiente al tipo de tratamiento de nivel superior. </t>
    </r>
  </si>
  <si>
    <r>
      <t>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t>
    </r>
    <r>
      <rPr>
        <vertAlign val="subscript"/>
        <sz val="10"/>
        <rFont val="Arial"/>
        <family val="2"/>
      </rPr>
      <t>5</t>
    </r>
    <r>
      <rPr>
        <sz val="10"/>
        <rFont val="Arial"/>
        <family val="2"/>
      </rPr>
      <t xml:space="preserve">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</si>
  <si>
    <t>Población con tratamiento de aguas residuales independientes (por ejemplo, fosas sépticas)</t>
  </si>
  <si>
    <t xml:space="preserve">    Hogares</t>
  </si>
  <si>
    <t xml:space="preserve">    Industrias manufactureras (CIIU 10-33)</t>
  </si>
  <si>
    <t xml:space="preserve">    Otras actividades económicas</t>
  </si>
  <si>
    <r>
      <t>mill m</t>
    </r>
    <r>
      <rPr>
        <vertAlign val="superscript"/>
        <sz val="8"/>
        <rFont val="Arial"/>
        <family val="2"/>
      </rPr>
      <t>3</t>
    </r>
    <r>
      <rPr>
        <sz val="8"/>
        <rFont val="Arial"/>
        <family val="2"/>
      </rPr>
      <t>/año</t>
    </r>
  </si>
  <si>
    <t xml:space="preserve">País:  </t>
  </si>
  <si>
    <t xml:space="preserve">Cuadro W3: Industria del suministro de agua (CIIU 36) </t>
  </si>
  <si>
    <t>Pérdidas durante el transporte (CIIU 36)</t>
  </si>
  <si>
    <t>El agua utilizada en la generación de hidroelectricidad debe excluirse de la industria de la energía eléctrica.</t>
  </si>
  <si>
    <r>
      <t>del cual:</t>
    </r>
    <r>
      <rPr>
        <sz val="8"/>
        <rFont val="Arial"/>
        <family val="2"/>
      </rPr>
      <t xml:space="preserve">
        Tratamiento primario</t>
    </r>
  </si>
  <si>
    <r>
      <t xml:space="preserve">del cual:
      </t>
    </r>
    <r>
      <rPr>
        <sz val="8"/>
        <rFont val="Arial"/>
        <family val="2"/>
      </rPr>
      <t>Tratamiento primario</t>
    </r>
  </si>
  <si>
    <t>Si no se dispone de los datos requeridos, déjese el espacio en blanco. Si la variable requerida no es aplicable al país (el fenómeno es irrelevante), o el valor es inferior a la mitad de la unidad de medida, indíquese “0” (cero).</t>
  </si>
  <si>
    <t>Población no conectada a un sistema de tratamiento de aguas residuales (100% - (2) - (4))</t>
  </si>
  <si>
    <t>Indíquese a continuación la definición nacional de agua dulce:</t>
  </si>
  <si>
    <t>Indíquese toda información complementaria a continuación, como: método de cálculo utilizado para flujos internos y externos; período de referencia que abarcan los promedios anuales a largo plazo; metodología utilizada para calcular la evapotranspiración; categorías adicionales de estadísticas nacionales de consumo de agua, etc.</t>
  </si>
  <si>
    <t>Descríbanse las dificultades que hayan podido surgir al rellenar los cuestionario.</t>
  </si>
  <si>
    <t>Volumen total de precipitaciones atmosféricas húmedas (lluvia, nieve, granizo, rocío, etc.) que caen en el territorio de un país en un año, en millones de metros cúbicos.</t>
  </si>
  <si>
    <t>Evapotranspiración real</t>
  </si>
  <si>
    <t>Extracción y utilización de agua dulce</t>
  </si>
  <si>
    <t>Los datos que se solicitan en el presente cuestionario podrán haber sido reunidos o recopilados inicialmente por diferentes instituciones de un país. Se pide a las oficinas nacionales de estadística o los ministerios del medio ambiente que consoliden los datos de dichas fuentes diversas.</t>
  </si>
  <si>
    <t>Habida cuenta de la complejidad de las cuestiones ambientales relativas al agua, se solicita a los países que suministren toda información complementaria que pueda contribuir al análisis y la interpretación de los datos en la hoja de información complementaria (W6).</t>
  </si>
  <si>
    <t>Junto a cada cuadro se ha añadido una sección de validación de datos. Hay dos tipos de cuadros de validación: validación de la serie cronológica y validación de la coherencia. Está sección ayudará al país y a la División de Estadística a validar los datos presentados.</t>
  </si>
  <si>
    <t xml:space="preserve">Si no se dispone de los datos requeridos, déjese el espacio en blanco. Si la variable solicitada no es aplicable al país (el fenómeno es irrelevante) o el valor es inferior a la mitad de la unidad de medida, indíquese “0” (cero). </t>
  </si>
  <si>
    <t>Preséntense los datos en la unidad indicada. Debajo de la descripción de los cuadros se proporciona una tabla de conversión.</t>
  </si>
  <si>
    <r>
      <t xml:space="preserve">Contacto: </t>
    </r>
    <r>
      <rPr>
        <sz val="10"/>
        <rFont val="Arial"/>
        <family val="2"/>
      </rPr>
      <t>Si tiene preguntas, póngase en contacto con la División de Estadística de las Naciones Unidas</t>
    </r>
  </si>
  <si>
    <t>Cuadro W2: Extracción y utilización de agua dulce</t>
  </si>
  <si>
    <r>
      <t xml:space="preserve">En el cuadro W6 puede incluirse toda la información adicional pertinente. Por ejemplo, la División de Estadística ha presentado una definición genérica de agua dulce en la sección de definiciones de este cuestionario. Sin embargo, a efectos de comparaciones internacionales, quizás sea útil proporcionar una definición nacional más concreta (por ejemplo, que indique el grado de salinidad).
Además, se anima a los países a proporcionar o adjuntar fuentes adicionales de información, como direcciones de sitios </t>
    </r>
    <r>
      <rPr>
        <i/>
        <sz val="10"/>
        <rFont val="Arial"/>
        <family val="2"/>
      </rPr>
      <t>web</t>
    </r>
    <r>
      <rPr>
        <sz val="10"/>
        <rFont val="Arial"/>
        <family val="2"/>
      </rPr>
      <t>, publicaciones o resultados de encuestas, entre otros, relativas a la cuestión del agua, en especial si surgieron dificultades al cumplimentar los cuestionarios.</t>
    </r>
  </si>
  <si>
    <t>Códigos de la CIIU</t>
  </si>
  <si>
    <r>
      <t xml:space="preserve">La </t>
    </r>
    <r>
      <rPr>
        <b/>
        <sz val="10"/>
        <rFont val="Arial"/>
        <family val="2"/>
      </rPr>
      <t>agricultura, la ganadería, la silvicultura y la pesca</t>
    </r>
    <r>
      <rPr>
        <sz val="10"/>
        <rFont val="Arial"/>
        <family val="2"/>
      </rPr>
      <t xml:space="preserve"> abarcan: la producción animal y de cultivos, la caza y otras actividades relacionadas; la silvicultura y la explotación forestal; la pesca y la acuicultura. Esta sección comprende la explotación de recursos naturales vegetales y animales, incluyendo las actividades de cultivo, cría de animales, explotación forestal, recogida de otras plantas y obtención de animales o productos de origen animal en una explotación o en su hábitat.</t>
    </r>
  </si>
  <si>
    <r>
      <t>Las</t>
    </r>
    <r>
      <rPr>
        <b/>
        <sz val="10"/>
        <rFont val="Arial"/>
        <family val="2"/>
      </rPr>
      <t xml:space="preserve">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la renovación o la reconstrucción de productos es generalmente considerada como parte de la industria manufacturera.</t>
    </r>
  </si>
  <si>
    <t>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</si>
  <si>
    <t>Volumen total del caudal externo real de entrada de ríos y aguas subterráneas procedente de países vecinos. Las masas de aguas limítrofes deben dividirse por partes iguales entre los dos Estados ribereños, a menos que existan otros acuerdos de aguas compartidas.</t>
  </si>
  <si>
    <t>Promedio aritmético de por lo menos 30 años consecutivos. Suministre el promedio correspondiente al período disponible e indique la duración del período en las notas a pie de página.</t>
  </si>
  <si>
    <r>
      <t xml:space="preserve">Agua que corre o permanece en la superficie de una masa de tierra; cursos de agua naturales como ríos, riachuelos, arroyos, lagos, etc., así como cursos de agua artificiales como canales de riego, industriales y de navegación, sistemas de drenaje y depósitos. A los efectos de este cuestionario, el agua extraída por filtración ribereña se incluye como agua dulce superficial. El agua de mar y las aguas de transición, como los pantanos salobres, las lagunas y los estuarios, no se consideran agua dulce superficial.
</t>
    </r>
    <r>
      <rPr>
        <b/>
        <sz val="10"/>
        <rFont val="Arial"/>
        <family val="2"/>
      </rPr>
      <t>Filtración ribereña</t>
    </r>
    <r>
      <rPr>
        <sz val="10"/>
        <rFont val="Arial"/>
        <family val="2"/>
      </rPr>
      <t xml:space="preserve"> es la utilización de formaciones geológicas existentes adyacentes a masas de aguas superficiales para filtrar agua potable. Se perforan pozos en sedimentos arenosos finos cercanos a las masas de agua y se extrae el agua de dichos pozos. El agua en las masas de agua se filtra a través de los sedimentos y así se eliminan los contaminantes.</t>
    </r>
  </si>
  <si>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los manantiales, tanto concentrados como difusos, que podrían ser subacuosos.</t>
  </si>
  <si>
    <r>
      <t>(Extracción de agua dulce por)</t>
    </r>
    <r>
      <rPr>
        <b/>
        <sz val="10"/>
        <rFont val="Arial"/>
        <family val="2"/>
      </rPr>
      <t xml:space="preserve"> Agricultura, ganadería, silvicultura y pesca (CIIU 01-03)</t>
    </r>
  </si>
  <si>
    <r>
      <t xml:space="preserve">(Agua dulce utilizada por) </t>
    </r>
    <r>
      <rPr>
        <b/>
        <sz val="10"/>
        <rFont val="Arial"/>
        <family val="2"/>
      </rPr>
      <t>Agricultura, ganadería, silvicultura y pesca (CIIU 01-03)</t>
    </r>
  </si>
  <si>
    <t>Volumen de agua utilizada por las actividades económicas pertenecientes a la agricultura, la ganadería, la silvicultura y la pesca (CIIU 01-03), ya sea extraída directamente de las fuentes de agua para su propia utilización o provista por la industria del suministro de agua.</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</si>
  <si>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</si>
  <si>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</si>
  <si>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</si>
  <si>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</si>
  <si>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</si>
  <si>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</si>
  <si>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</si>
  <si>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</si>
  <si>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</si>
  <si>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</si>
  <si>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</si>
  <si>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</si>
  <si>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</si>
  <si>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</si>
  <si>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</si>
  <si>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</si>
  <si>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</si>
  <si>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</si>
  <si>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</si>
  <si>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</si>
  <si>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</si>
  <si>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</si>
  <si>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</si>
  <si>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</si>
  <si>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</si>
  <si>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Agua que contiene solo cantidades mínimas de sales disueltas, especialmente cloruro de sodio, lo que la distingue del agua de mar o el agua salobre.</t>
  </si>
  <si>
    <t>El promedio anual de largo plazo corresponde al promedio aritmético de por lo menos 30 años consecutivos. Suministre el promedio correspondiente al período disponible e indique la duración del período en las notas a pie de página.</t>
  </si>
  <si>
    <t>En la sección de notas a pie de página apórtese información sobre las fuentes y el método de recopilación de datos para los valores indicados, como los métodos de estimación (si los hubiera) y las fuentes originales (por ejemplo, encuestas o registros administrativos).</t>
  </si>
  <si>
    <t>Notas a pie de página</t>
  </si>
  <si>
    <t>de la cual extraída por:</t>
  </si>
  <si>
    <t>Agricultura, ganadería, silvicultura y pesca (CIIU 01-03)</t>
  </si>
  <si>
    <t>de la cual utilizada por:</t>
  </si>
  <si>
    <t>Este cuadro recoge el volumen de agua extraída de masas de agua (ríos, lagos, aguas subterráneas, etc.) por los distintos extractores; el volumen de agua disponible de otras fuentes; y el volumen de agua utilizado por los distintos usuarios finales.</t>
  </si>
  <si>
    <r>
      <t xml:space="preserve">El agua utilizada en la generación de hidroelectricidad debe </t>
    </r>
    <r>
      <rPr>
        <b/>
        <sz val="8"/>
        <rFont val="Arial"/>
        <family val="2"/>
      </rPr>
      <t>excluirse</t>
    </r>
    <r>
      <rPr>
        <sz val="8"/>
        <rFont val="Arial"/>
        <family val="2"/>
      </rPr>
      <t xml:space="preserve"> de la industria de la energía eléctrica.</t>
    </r>
  </si>
  <si>
    <t>de la cual suministrada a:</t>
  </si>
  <si>
    <r>
      <t xml:space="preserve">de la cual </t>
    </r>
    <r>
      <rPr>
        <sz val="8"/>
        <rFont val="Arial"/>
        <family val="2"/>
      </rPr>
      <t>a un tratamiento secundario o superior</t>
    </r>
  </si>
  <si>
    <t>Caudal de entrada de aguas superficiales y subterráneas desde países vecinos</t>
  </si>
  <si>
    <t>Caudal de salida de aguas superficiales y subterráneas hacia países vecinos</t>
  </si>
  <si>
    <t>Garantizado por tratados</t>
  </si>
  <si>
    <t>No garantizado por tratados</t>
  </si>
  <si>
    <t>Caudal de salida de aguas superficiales y subterráneas hacia el mar</t>
  </si>
  <si>
    <t>Caudal real de salida de las aguas fluviales y subterráneas hacia el mar.</t>
  </si>
  <si>
    <t>Caudal real de salida de las aguas fluviales y subterráneas hacia países vecinos.</t>
  </si>
  <si>
    <t>Promedio anual de largo plazo</t>
  </si>
  <si>
    <t>Agua dulce superficial</t>
  </si>
  <si>
    <t>√</t>
  </si>
  <si>
    <t>W2, 18</t>
  </si>
  <si>
    <t>W2, 20</t>
  </si>
  <si>
    <t xml:space="preserve">    Agriculture, forestry and fishing (ISIC 01-03)</t>
  </si>
  <si>
    <t>W1, 9</t>
  </si>
  <si>
    <t xml:space="preserve">W2, 1 </t>
  </si>
  <si>
    <t>W2, 3</t>
  </si>
  <si>
    <t>Inflow of surface and groundwaters from neighbouring countries</t>
  </si>
  <si>
    <t>Índice</t>
  </si>
  <si>
    <t>Guía</t>
  </si>
  <si>
    <t>Definiciones</t>
  </si>
  <si>
    <t>Cuadro W1</t>
  </si>
  <si>
    <t>Cuadro W2</t>
  </si>
  <si>
    <t>Cuadro W3</t>
  </si>
  <si>
    <t>Cuadro W4</t>
  </si>
  <si>
    <t>Cuadro W5</t>
  </si>
  <si>
    <t>Cuadro W6</t>
  </si>
  <si>
    <t>Lista de definiciones</t>
  </si>
  <si>
    <t>Recursos renovables de agua dulce</t>
  </si>
  <si>
    <t xml:space="preserve">Industria del suministro de agua (CIIU 36)                               </t>
  </si>
  <si>
    <t>Generación y tratamiento de aguas residuales</t>
  </si>
  <si>
    <t>Población conectada a servicios de tratamiento de aguas residuales</t>
  </si>
  <si>
    <t>Hoja de información complementaria</t>
  </si>
  <si>
    <t xml:space="preserve"> Guía</t>
  </si>
  <si>
    <t>INTRODUCCIÓN</t>
  </si>
  <si>
    <t>Las definiciones se enumeran por orden de aparición de las variables. En caso de que se repita una variable, la definición podrá encontrarse donde aparece por primera vez esa variable.</t>
  </si>
  <si>
    <t>Pasos que deben seguirse</t>
  </si>
  <si>
    <t xml:space="preserve">por correo electrónico: envstats@un.org </t>
  </si>
  <si>
    <t xml:space="preserve">por fax: +1 (212) 963-0623 </t>
  </si>
  <si>
    <t>DESCRIPCIÓN DE LOS CUADROS</t>
  </si>
  <si>
    <t>Cuadro W1: Recursos renovables de agua dulce</t>
  </si>
  <si>
    <t>W2, 4</t>
  </si>
  <si>
    <t>Line 10=3</t>
  </si>
  <si>
    <t>Line 11=5</t>
  </si>
  <si>
    <t>Line 1-12</t>
  </si>
  <si>
    <t>Line 3-13</t>
  </si>
  <si>
    <t>Line 4-14</t>
  </si>
  <si>
    <t>Line 5-15</t>
  </si>
  <si>
    <t>Line 1+2</t>
  </si>
  <si>
    <t>Line 14=24</t>
  </si>
  <si>
    <t xml:space="preserve">W2, 11
</t>
  </si>
  <si>
    <t xml:space="preserve">W2, 13
</t>
  </si>
  <si>
    <t xml:space="preserve">W2, 14
</t>
  </si>
  <si>
    <t xml:space="preserve">W2, 16
</t>
  </si>
  <si>
    <t xml:space="preserve">W2, 17
</t>
  </si>
  <si>
    <t>W3, 1</t>
  </si>
  <si>
    <t xml:space="preserve">W3, 3
</t>
  </si>
  <si>
    <t>W5, 1</t>
  </si>
  <si>
    <t>W5, 2</t>
  </si>
  <si>
    <t>W5, 4</t>
  </si>
  <si>
    <t>W5, 5</t>
  </si>
  <si>
    <t xml:space="preserve">W4, 1
</t>
  </si>
  <si>
    <t>%</t>
  </si>
  <si>
    <t>l</t>
  </si>
  <si>
    <t>ml</t>
  </si>
  <si>
    <r>
      <t>m</t>
    </r>
    <r>
      <rPr>
        <vertAlign val="superscript"/>
        <sz val="10"/>
        <rFont val="Arial"/>
        <family val="2"/>
      </rPr>
      <t>3</t>
    </r>
  </si>
  <si>
    <t>W2, 5</t>
  </si>
  <si>
    <t>W2, 6</t>
  </si>
  <si>
    <t>Desalinated water</t>
  </si>
  <si>
    <t>Line</t>
  </si>
  <si>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</si>
  <si>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</si>
  <si>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</si>
  <si>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</si>
  <si>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</si>
  <si>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</si>
  <si>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</si>
  <si>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</si>
  <si>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</si>
  <si>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</si>
  <si>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</si>
  <si>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</si>
  <si>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</si>
  <si>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</si>
  <si>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</si>
  <si>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</si>
  <si>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</si>
  <si>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</si>
  <si>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</si>
  <si>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</si>
  <si>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</si>
  <si>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</si>
  <si>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</si>
  <si>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</si>
  <si>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</si>
  <si>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</si>
  <si>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</si>
  <si>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</si>
  <si>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</si>
  <si>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</si>
  <si>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</si>
  <si>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</si>
  <si>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</si>
  <si>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</si>
  <si>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</si>
  <si>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</si>
  <si>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</si>
  <si>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</si>
  <si>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</si>
  <si>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</si>
  <si>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</si>
  <si>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</si>
  <si>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</si>
  <si>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</si>
  <si>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</si>
  <si>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</si>
  <si>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</si>
  <si>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</si>
  <si>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</si>
  <si>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</si>
  <si>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</si>
  <si>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</si>
  <si>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</si>
  <si>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</si>
  <si>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</si>
  <si>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</si>
  <si>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</si>
  <si>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</si>
  <si>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</si>
  <si>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</si>
  <si>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</si>
  <si>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</si>
  <si>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</si>
  <si>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</si>
  <si>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</si>
  <si>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</si>
  <si>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</si>
  <si>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</si>
  <si>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</si>
  <si>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</si>
  <si>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</si>
  <si>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</si>
  <si>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</si>
  <si>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</si>
  <si>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</si>
  <si>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</si>
  <si>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</si>
  <si>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</si>
  <si>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</si>
  <si>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</si>
  <si>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</si>
  <si>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</si>
  <si>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</si>
  <si>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</si>
  <si>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</si>
  <si>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</si>
  <si>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</si>
  <si>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</si>
  <si>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</si>
  <si>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</si>
  <si>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</si>
  <si>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</si>
  <si>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</si>
  <si>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</si>
  <si>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</si>
  <si>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</si>
  <si>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</si>
  <si>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</si>
  <si>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</si>
  <si>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</si>
  <si>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</si>
  <si>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</si>
  <si>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</si>
  <si>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</si>
  <si>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</si>
  <si>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</si>
  <si>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</si>
  <si>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</si>
  <si>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</si>
  <si>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</si>
  <si>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</si>
  <si>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</si>
  <si>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</si>
  <si>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</si>
  <si>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</si>
  <si>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</si>
  <si>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</si>
  <si>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</si>
  <si>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</si>
  <si>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</si>
  <si>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</si>
  <si>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</si>
  <si>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</si>
  <si>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</si>
  <si>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</si>
  <si>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</si>
  <si>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</si>
  <si>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</si>
  <si>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</si>
  <si>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</si>
  <si>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</si>
  <si>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</si>
  <si>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</si>
  <si>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</si>
  <si>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</si>
  <si>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</si>
  <si>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</si>
  <si>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</si>
  <si>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</si>
  <si>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</si>
  <si>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</si>
  <si>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</si>
  <si>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</si>
  <si>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</si>
  <si>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</si>
  <si>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</si>
  <si>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</si>
  <si>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</si>
  <si>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</si>
  <si>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</si>
  <si>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</si>
  <si>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</si>
  <si>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</si>
  <si>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</si>
  <si>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</si>
  <si>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</si>
  <si>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</si>
  <si>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</si>
  <si>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</si>
  <si>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</si>
  <si>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</si>
  <si>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</si>
  <si>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</si>
  <si>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</si>
  <si>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</si>
  <si>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</si>
  <si>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</si>
  <si>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</si>
  <si>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</si>
  <si>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</si>
  <si>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</si>
  <si>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</si>
  <si>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</si>
  <si>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</si>
  <si>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</si>
  <si>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</si>
  <si>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</si>
  <si>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</si>
  <si>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</si>
  <si>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</si>
  <si>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</si>
  <si>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</si>
  <si>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</si>
  <si>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</si>
  <si>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</si>
  <si>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</si>
  <si>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</si>
  <si>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Agua más salada que el agua dulce y menos salada que el agua de mar. Técnicamente, el agua salobre contiene entre 500 y 30.000 milligramos de sal por litro, aunque la mayoría de las aguas salobres tiene una concentración de sales disueltas de 1.000 a 10.000 miligramos por litro (mg/l).</t>
  </si>
  <si>
    <t>Introducción, indicaciones generales, descripción de los cuadros y tabla de conversión</t>
  </si>
  <si>
    <t>Agua de un mar u océano. En promedio, el agua de mar en los océanos del mundo tiene una salinidad de aproximada de 35.000 milligramos por litro.</t>
  </si>
  <si>
    <t>Sección: AGUA</t>
  </si>
  <si>
    <t>En este cuestionario sobre el agua se solicita información básica relativa a la gestión de los recursos hídricos en un país. Los cuadros incluyen los recursos renovables de agua dulce, la extracción de agua dulce y su utilización, la industria del suministro de agua (CIIU 36), la generación y el tratamiento de las aguas residuales y la población conectada a servicios de tratamiento de aguas residuales.</t>
  </si>
  <si>
    <t>Section: AGUA</t>
  </si>
  <si>
    <t>Inclúyase la información de contacto institucional en la parte superior de cada cuadro.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</si>
  <si>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el valor de los datos, agréguense notas a pie de página para explicar esos cambios. Proporciónese toda la información posible en las notas a pie de página sobre las fuentes y el método de recopilación de datos para cada valor.</t>
  </si>
  <si>
    <t>Llénense los cuadros hasta donde sea posible, de acuerdo con las definiciones suministradas (véase la lista de definiciones). Si se ha utilizado una definición o metodología diferente, explíquense las diferencias en una nota a pie de página o suminístrese la definición o metodología aplicada en la hoja de información complementaria (W6).</t>
  </si>
  <si>
    <t>Adjúntese cualquier documento o referencia que pueda ayudar a la División de Estadística a comprender sus datos.</t>
  </si>
  <si>
    <t>Después de haber rellenado cada uno de los cuadros, compruébense los casos marcados en rojo para ver la coherencia de los datos en la sección de validación a la derecha de cada cuadro.</t>
  </si>
  <si>
    <t>En el cuadro W1 se incluyen los componentes más importantes para evaluar los recursos renovables de agua dulce y su disponibilidad en un país determinado. Los recursos renovables de agua dulce (aguas superficiales y subterráneas) se reabastecen con las precipitaciones (menos la evapotranspiración), que, al caer sobre el territorio del país, alimentan los ríos y recargan los acuíferos (flujo interno), y también con el caudal de entrada de aguas superficiales y subterráneas de los países vecinos. La tabla también incluye el caudal de salida de aguas superficiales y subterráneas hacia los países vecinos y al mar (que no está incluido en la ecuación para determinar el volumen de recursos renovables de agua dulce). El caudal de salida hacia los países vecinos se divide entre el que garantizan los tratados y el no garantizado por los tratados. Los datos solicitados en el cuadro generalmente se basan en los sistemas de vigilancia y los modelos hidrológicos y meteorológicos.</t>
  </si>
  <si>
    <t>El agua dulce puede extraerse de las aguas superficiales (ríos, lagos, etc.) y de las aguas subterráneas (por medio de pozos o manantiales). El agua es extraída por los organismos públicos o privados cuya función principal es suministrar agua al público en general (la industria del suministro de agua). El agua también puede extraerse directamente para uso industrial, agrícola y doméstico, entre otros. En el cuadro deben consignarse los datos sobre la extracción de agua dulce, desglosada por actividad principal del extractor, conforme a la definición de la Clasificación Industrial Internacional Uniforme de todas las actividades económicas (CIIU Rev. 4). El cuadro incluye la cantidad de agua disponible para su uso mediante extracción, desalinización, reutilización e importación neta. El total del agua dulce utilizada es igual al total del agua disponible para el consumo menos las pérdidas sufridas durante el transporte. El cuadro también incluye la cantidad total de agua utilizada con arreglo a los grupos principales de la CIIU.</t>
  </si>
  <si>
    <r>
      <t>El cuadro W3 se centra en la industria del suministro de agua, es decir, los organismos públicos o privados cuya función principal es suministrar agua al público en general. En él se solicita que las cantidades de agua suministradas por la industria del suministro de agua a sus clientes (consumidores de agua) se desglosen con arreglo a los grupos principales de la CIIU. Asimismo, deben indicarse las pérdidas de agua y la población a la que sirve la industria del suministro de agua. El término industria del suministro de agua es idéntico al ‘abastecimiento público de agua’ y se refiere a las unidades económicas pertenecientes a la CIIU 36 (captación, tratamiento y distribución de agua).</t>
    </r>
    <r>
      <rPr>
        <b/>
        <sz val="10"/>
        <rFont val="Arial"/>
        <family val="2"/>
      </rPr>
      <t xml:space="preserve"> </t>
    </r>
    <r>
      <rPr>
        <sz val="8"/>
        <color indexed="53"/>
        <rFont val="Arial"/>
        <family val="2"/>
      </rPr>
      <t/>
    </r>
  </si>
  <si>
    <t xml:space="preserve">Precipitación                             </t>
  </si>
  <si>
    <t>Flujo interno</t>
  </si>
  <si>
    <t>Flujo interno (=1-2)</t>
  </si>
  <si>
    <t>Recursos renovables de agua dulce (=3+4)</t>
  </si>
  <si>
    <t>• Si el valor se convierte en rojo, favor de verificar si es correcto.</t>
  </si>
  <si>
    <t>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</si>
  <si>
    <t xml:space="preserve">Población conectada a un sistema de captación de aguas residuales </t>
  </si>
  <si>
    <t>del cual:
     Garantizado por tratados</t>
  </si>
  <si>
    <t xml:space="preserve">     No garantizado por tratados</t>
  </si>
  <si>
    <t>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</si>
  <si>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</si>
  <si>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</si>
  <si>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</si>
  <si>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</si>
  <si>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</si>
  <si>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</si>
  <si>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</si>
  <si>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</si>
  <si>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</si>
  <si>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</si>
  <si>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</si>
  <si>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</si>
  <si>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</si>
  <si>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</si>
  <si>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</si>
  <si>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</si>
  <si>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</si>
  <si>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</si>
  <si>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</si>
  <si>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</si>
  <si>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</si>
  <si>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</si>
  <si>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</si>
  <si>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</si>
  <si>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</si>
  <si>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</si>
  <si>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</si>
  <si>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</si>
  <si>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</si>
  <si>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</si>
  <si>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</si>
  <si>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</si>
  <si>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</si>
  <si>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</si>
  <si>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</si>
  <si>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</si>
  <si>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</si>
  <si>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</si>
  <si>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</si>
  <si>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</si>
  <si>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</si>
  <si>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</si>
  <si>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</si>
  <si>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</si>
  <si>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</si>
  <si>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</si>
  <si>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</si>
  <si>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</si>
  <si>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</si>
  <si>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</si>
  <si>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</si>
  <si>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</si>
  <si>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</si>
  <si>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</si>
  <si>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</si>
  <si>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</si>
  <si>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</si>
  <si>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</si>
  <si>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</si>
  <si>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</si>
  <si>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</si>
  <si>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Wastewater treated in urban wastewater treatment plants</t>
  </si>
  <si>
    <t>Non-treated wastewater</t>
  </si>
  <si>
    <t xml:space="preserve">    Not secured by treaties</t>
  </si>
  <si>
    <t>Water supply industry (ISIC 36)</t>
  </si>
  <si>
    <t>E 37</t>
  </si>
  <si>
    <t>Order</t>
  </si>
  <si>
    <t>•</t>
  </si>
  <si>
    <t>Deleted</t>
  </si>
  <si>
    <t>W3 bank filtration</t>
  </si>
  <si>
    <t>Volumen anual de aguas superficiales y subterráneas que sale del país de referencia y está garantizado por acuerdos formales con los países adyacentes de periodicidad anual.</t>
  </si>
  <si>
    <t>Volumen anual de aguas superficiales y subterráneas que sale del país de referencia y no está garantizado por acuerdos formales con los países adyacentes de periodicidad anual.</t>
  </si>
  <si>
    <t>Excluidas las aguas residuales generadas por la categoría CIIU 37 (alcantarillado).</t>
  </si>
  <si>
    <t xml:space="preserve">Notas : </t>
  </si>
  <si>
    <t>Volumen de agua utilizada por las actividades económicas pertenecientes a las industrias manufactureras (CIIU 10-33), ya sea extraída directamente de las fuentes de agua para su propia utilización o provista por la industria del suministro de agua.</t>
  </si>
  <si>
    <t>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</si>
  <si>
    <t>Volumen de agua utilizada por las restantes actividades económicas no mencionadas anteriormente, ya sea extraída directamente de las fuentes de agua para su propia utilización o provista por la industria del suministro de agua.</t>
  </si>
  <si>
    <t>Agua provista por la industria del suministro de agua al usuario. Incluye las pérdidas durante el transporte. Se excluye el agua provista por la industria del suministro de agua para la operación de los canales de irrigación.</t>
  </si>
  <si>
    <t>Población urbana abastecida por la industria del suministro de agua (CIIU 36)</t>
  </si>
  <si>
    <t>Porcentaje de la población urbana que utiliza agua provista por la industria del suministro de agua (CIIU 36).</t>
  </si>
  <si>
    <t>Población rural abastecida por la industria del suministro de agua (CIIU 36)</t>
  </si>
  <si>
    <t>Porcentaje de la población rural que utiliza agua provista por la industria del suministro de agua (CIIU 36).</t>
  </si>
  <si>
    <t>Total de aguas residuales generadas</t>
  </si>
  <si>
    <r>
      <t xml:space="preserve">(Aguas residuales generadas por) </t>
    </r>
    <r>
      <rPr>
        <b/>
        <sz val="10"/>
        <rFont val="Arial"/>
        <family val="2"/>
      </rPr>
      <t>Otras actividades económicas</t>
    </r>
  </si>
  <si>
    <t>Tratamiento de aguas residuales urbanas</t>
  </si>
  <si>
    <t>Otras formas de tratamiento de aguas residuales</t>
  </si>
  <si>
    <t xml:space="preserve">Tratamiento primario de aguas residuales </t>
  </si>
  <si>
    <t>Tratamiento secundario de aguas residuales</t>
  </si>
  <si>
    <t>Tratamiento terciario de aguas residuales</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</si>
  <si>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</si>
  <si>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</si>
  <si>
    <t>Porcentaje de la población residente conectado a un sistema de captación de aguas residuales (alcantarillado). Los sistemas de captación de aguas residuales pueden enviarlas a las plantas de tratamiento o descargarlas sin tratamiento previo en el medio ambiente.</t>
  </si>
  <si>
    <t>Porcentaje de la población residente cuyas aguas residuales se tratan en plantas de tratamiento de aguas residuales.</t>
  </si>
  <si>
    <t>Porcentaje de la población residente cuyas aguas residuales se tratan en instalaciones separadas, a menudo privadas, como fosas sépticas.</t>
  </si>
  <si>
    <t>Población no conectada a un sistema de tratamiento de aguas residuales</t>
  </si>
  <si>
    <t>Porcentaje de la población residente cuyas aguas residuales no se tratan ni en plantas de tratamiento urbanas ni en instalaciones independientes de tratamiento.</t>
  </si>
  <si>
    <t>Agua dulce</t>
  </si>
  <si>
    <t>Agua salobre</t>
  </si>
  <si>
    <t>Agua de mar</t>
  </si>
  <si>
    <t>La División de Estadística ha diseñado este diagrama para mostrar las relaciones entre las variables de los cuadros W1 y W2. Al cumplimentar el cuestionario, consúltese este diagrama en caso de necesitar aclaraciones sobre los conceptos en que se apoyan los datos.</t>
  </si>
  <si>
    <t>Diagrama: Resumen de los recursos de agua dulce, extracción, distribución y consumo de agua dulce.</t>
  </si>
  <si>
    <t xml:space="preserve">País: </t>
  </si>
  <si>
    <t>Institución de contacto:</t>
  </si>
  <si>
    <t>Línea</t>
  </si>
  <si>
    <t>Categoría</t>
  </si>
  <si>
    <t>Unidad</t>
  </si>
  <si>
    <t>Las cifras de precipitación deben basarse en medidas de precipitación representativas de todo el país y todas las zonas climáticas del país.</t>
  </si>
  <si>
    <t xml:space="preserve">Si no se dispone de los datos requeridos, déjese el espacio en blanco. Si la variable requerida no es aplicable al país (el fenómeno es irrelevante), o el valor es inferior a la mitad de la unidad de medida, indíquese “0” (cero). </t>
  </si>
  <si>
    <t>Código</t>
  </si>
  <si>
    <t>Texto de la nota</t>
  </si>
  <si>
    <t>Industria del suministro de agua (CIIU 36)</t>
  </si>
  <si>
    <t>Hogares</t>
  </si>
  <si>
    <t>Industrias manufactureras (CIIU 10-33)</t>
  </si>
  <si>
    <t>Otras actividades económicas</t>
  </si>
  <si>
    <t>Población abastecida por la industria del suministro de agua (CIIU 36)</t>
  </si>
  <si>
    <t>Este cuadro recoge el volumen de agua provisto por las industrias del suministro de agua, ya sean de control público o privado. La información corresponde al término "suministro público de agua".</t>
  </si>
  <si>
    <t>Tratamiento secundario</t>
  </si>
  <si>
    <t>Tratamiento terciario</t>
  </si>
  <si>
    <t>Aguas residuales tratadas en otras plantas de tratamiento</t>
  </si>
  <si>
    <t>Aguas residuales no tratadas</t>
  </si>
  <si>
    <t>Para evitar la duplicación, los datos sobre el agua sometida a más de un tipo de tratamiento deben incluirse únicamente en el campo correspondiente al tratamiento de mayor nivel.</t>
  </si>
  <si>
    <t>Agua dulce subterránea</t>
  </si>
  <si>
    <t>Extracción de agua dulce superficial</t>
  </si>
  <si>
    <t xml:space="preserve">Agua extraída de cualquier fuente de agua dulce superficial, como ríos, lagos, embalses o agua de lluvia, ya sea de manera temporal o permanente. </t>
  </si>
  <si>
    <t>Extracción de agua dulce subterránea</t>
  </si>
  <si>
    <t xml:space="preserve">Agua extraída de cualquier fuente de agua dulce subterránea, ya sea de manera temporal o permanente. </t>
  </si>
  <si>
    <r>
      <t>(Extracción de agua dulce por)</t>
    </r>
    <r>
      <rPr>
        <b/>
        <sz val="10"/>
        <rFont val="Arial"/>
        <family val="2"/>
      </rPr>
      <t xml:space="preserve"> Industria del suministro de agua (CIIU 36)</t>
    </r>
  </si>
  <si>
    <r>
      <t>(Extracción de agua dulce por)</t>
    </r>
    <r>
      <rPr>
        <b/>
        <sz val="10"/>
        <rFont val="Arial"/>
        <family val="2"/>
      </rPr>
      <t xml:space="preserve"> Hogares</t>
    </r>
  </si>
  <si>
    <t>Las aguas residuales pueden generarse en los hogares y en diversas actividades económicas. Las aguas residuales generadas pueden descargarse directamente en masas de agua o tratarse previamente para extraer algunos de los contaminantes. En el cuadro W4 debe indicarse el volumen de aguas residuales generadas, así como el volumen de aguas residuales tratadas por la industria de evacuación, en otras plantas de tratamiento y en instalaciones de tratamiento independientes. En el cuadro se distingue entre tratamiento primario, secundario y terciario según el grado de tratamiento de aguas residuales (véanse las definiciones).</t>
  </si>
  <si>
    <t>TABLA DE CONVERSION</t>
  </si>
  <si>
    <t>Riego en agricultura</t>
  </si>
  <si>
    <t>Porcentaje del total de la población residente que utiliza agua provista por la industria del suministro de agua (CIIU 36).</t>
  </si>
  <si>
    <t>Total de población abastecida por la industria del suministro de agua (CIIU 36)</t>
  </si>
  <si>
    <t>Tratamiento independiente de aguas residuales</t>
  </si>
  <si>
    <t>Volumen de agua extraída directamente de fuentes superficiales (ríos, lagos, embalses, etc., incluido el volumen de agua de lluvia recogida) y subterráneas por los hogares para su propia utilización.</t>
  </si>
  <si>
    <r>
      <t>(Extracción de agua dulce por)</t>
    </r>
    <r>
      <rPr>
        <b/>
        <sz val="10"/>
        <rFont val="Arial"/>
        <family val="2"/>
      </rPr>
      <t xml:space="preserve"> Industrias manufactureras (CIIU 10-33)</t>
    </r>
  </si>
  <si>
    <r>
      <t>(Extracción de agua dulce por)</t>
    </r>
    <r>
      <rPr>
        <b/>
        <sz val="10"/>
        <rFont val="Arial"/>
        <family val="2"/>
      </rPr>
      <t xml:space="preserve"> Industria de la energía eléctrica (CIIU 351)</t>
    </r>
  </si>
  <si>
    <r>
      <t>(Extracción de agua dulce por)</t>
    </r>
    <r>
      <rPr>
        <b/>
        <sz val="10"/>
        <rFont val="Arial"/>
        <family val="2"/>
      </rPr>
      <t xml:space="preserve"> Otras actividades económicas</t>
    </r>
  </si>
  <si>
    <t>Agua desalinizada</t>
  </si>
  <si>
    <t>Volumen total de agua obtenida mediante procesos de desalinización (es decir, la eliminación de sal) de agua de mar y agua salobre.</t>
  </si>
  <si>
    <t>Agua reutilizada</t>
  </si>
  <si>
    <t>mill m3/año</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</si>
  <si>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</si>
  <si>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</si>
  <si>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</si>
  <si>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</si>
  <si>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</si>
  <si>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</si>
  <si>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</si>
  <si>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</si>
  <si>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</si>
  <si>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</si>
  <si>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</si>
  <si>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Una referencia útil para comparar las cifras sobre los recursos hídricos es la base de datos Aquastat de la FAO:  http://www.fao.org/nr/water/aquastat/data/query/index.html?lang=es.</t>
  </si>
  <si>
    <t>Construcción</t>
  </si>
  <si>
    <t>Explotación de minas y canteras (CIIU 05-09)</t>
  </si>
  <si>
    <t>Suministro de electricidad, gas, vapor y aire acondicionado (CIIU 35)</t>
  </si>
  <si>
    <t>Construcción (CIIU 41-43)</t>
  </si>
  <si>
    <r>
      <rPr>
        <i/>
        <sz val="8"/>
        <rFont val="Arial"/>
        <family val="2"/>
      </rPr>
      <t>de la cual</t>
    </r>
    <r>
      <rPr>
        <sz val="8"/>
        <rFont val="Arial"/>
        <family val="2"/>
      </rPr>
      <t xml:space="preserve">
Irrigation in agriculture</t>
    </r>
  </si>
  <si>
    <t>de la cual
Industria de la energía eléctrica (CIIU 351)</t>
  </si>
  <si>
    <r>
      <t xml:space="preserve">Cantidad neta de agua dulce provista por la industria del suministro de agua (CIIU 36) </t>
    </r>
    <r>
      <rPr>
        <sz val="8"/>
        <rFont val="Arial"/>
        <family val="2"/>
      </rPr>
      <t xml:space="preserve"> </t>
    </r>
    <r>
      <rPr>
        <b/>
        <sz val="8"/>
        <rFont val="Arial"/>
        <family val="2"/>
      </rPr>
      <t>(=1-2) (=4+5+6+7+8+10+11)</t>
    </r>
  </si>
  <si>
    <r>
      <rPr>
        <i/>
        <sz val="8"/>
        <rFont val="Arial"/>
        <family val="2"/>
      </rPr>
      <t>de la cual suministrada a:</t>
    </r>
    <r>
      <rPr>
        <sz val="8"/>
        <rFont val="Arial"/>
        <family val="2"/>
      </rPr>
      <t xml:space="preserve">
Industria de la energía eléctrica (CIIU 351)</t>
    </r>
  </si>
  <si>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</si>
  <si>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</si>
  <si>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</si>
  <si>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</si>
  <si>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</si>
  <si>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</si>
  <si>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</si>
  <si>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</si>
  <si>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</si>
  <si>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</si>
  <si>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</si>
  <si>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</si>
  <si>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</si>
  <si>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</si>
  <si>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</si>
  <si>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</si>
  <si>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</si>
  <si>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1000 m3/d</t>
  </si>
  <si>
    <t>by:
       Agriculture, forestry and fishing ISIC (01-03)</t>
  </si>
  <si>
    <t>of which by:
Electric power generation, transmission and distribution (ISIC 351)</t>
  </si>
  <si>
    <t>Of which:
    Primary treatment</t>
  </si>
  <si>
    <t>Line 21=2+3+4+5+7+8+9</t>
  </si>
  <si>
    <t>Line 1=21</t>
  </si>
  <si>
    <t>Line 22=10+14+18+19</t>
  </si>
  <si>
    <t>Line 1=22</t>
  </si>
  <si>
    <t>Line 23=11+12+13</t>
  </si>
  <si>
    <t>Line 10=23</t>
  </si>
  <si>
    <t>Line 24=15+16+17</t>
  </si>
  <si>
    <t>La División de Estadística de las Naciones Unidas ha diseñado diagramas para mostrar las relaciones entre las variables en los cuadros W1, W2, W3 y W4.  Se recomienda que, al completar este cuestionario, se consulten los diagramas en caso de necesitar aclaraciones sobre los conceptos en que se apoyan los datos.</t>
  </si>
  <si>
    <t>En este cuestionario se utiliza la Clasificación Industrial Internacional Uniforme de todas las actividades económicas (CIIU Rev. 4) para atribuir la extracción de agua y su utilización a las actividades económicas. Los códigos utilizados en este cuestionario se enumeran a continuación. Para la clasificación completa, véase https://unstats.un.org/unsd/publications/catalogue?selectID=396.</t>
  </si>
  <si>
    <r>
      <t>B</t>
    </r>
    <r>
      <rPr>
        <b/>
        <sz val="10"/>
        <rFont val="Arial"/>
        <family val="2"/>
      </rPr>
      <t xml:space="preserve"> 05-09</t>
    </r>
  </si>
  <si>
    <r>
      <rPr>
        <b/>
        <u/>
        <sz val="10"/>
        <rFont val="Arial"/>
        <family val="2"/>
      </rPr>
      <t>D</t>
    </r>
    <r>
      <rPr>
        <b/>
        <sz val="10"/>
        <rFont val="Arial"/>
        <family val="2"/>
      </rPr>
      <t xml:space="preserve"> 35</t>
    </r>
  </si>
  <si>
    <r>
      <rPr>
        <b/>
        <u/>
        <sz val="10"/>
        <rFont val="Arial"/>
        <family val="2"/>
      </rPr>
      <t>F</t>
    </r>
    <r>
      <rPr>
        <b/>
        <sz val="10"/>
        <rFont val="Arial"/>
        <family val="2"/>
      </rPr>
      <t xml:space="preserve"> 41-43</t>
    </r>
  </si>
  <si>
    <t>Explotación de minas y canteras</t>
  </si>
  <si>
    <t>Esta sección abarca la extracción de minerales que se encuentran en la naturaleza en estado sólido (carbón y minerales), líquido (petróleo) o gaseoso (gas natural). La extracción puede llevarse a cabo por diferentes métodos, como explotación de minas subterráneas o a cielo abierto, perforación de pozos, explotación minera de los fondos marinos, etcétera.</t>
  </si>
  <si>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</si>
  <si>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t>
  </si>
  <si>
    <t>Grupo  351</t>
  </si>
  <si>
    <t>Esta sección comprende las actividades corrientes y especializadas de construcción de edificios y obras de ingeniería civil. En ella se incluyen las obras nuevas, reparaciones, ampliaciones y reformas, la erección in situ de edificios y estructuras prefabricadas y también la construcción de obras de carácter temporal.</t>
  </si>
  <si>
    <t>Volumen de agua extraída directamente de fuentes superficiales (ríos, lagos, embalses, etc., incluido el volumen de agua de lluvia recogida) y subterráneas por parte de las unidades económicas del grupo CIIU 05-09 para su propia utilización.</t>
  </si>
  <si>
    <r>
      <t xml:space="preserve">(Extracción de agua dulce por) </t>
    </r>
    <r>
      <rPr>
        <b/>
        <sz val="10"/>
        <rFont val="Arial"/>
        <family val="2"/>
      </rPr>
      <t>Suministro de electricidad, gas, vapor y aire acondicionado (CIIU 35)</t>
    </r>
  </si>
  <si>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</si>
  <si>
    <r>
      <t xml:space="preserve">(Extracción de agua dulce por) </t>
    </r>
    <r>
      <rPr>
        <b/>
        <sz val="10"/>
        <rFont val="Arial"/>
        <family val="2"/>
      </rPr>
      <t>Construcción</t>
    </r>
  </si>
  <si>
    <t>Volumen de agua extraída directamente de fuentes superficiales (ríos, lagos, embalses, etc., incluido el volumen de agua de lluvia recogida) y subterráneas por parte de las unidades económicas del grupo CIIU 41-43 para su propia utilización.</t>
  </si>
  <si>
    <t>W2, 24</t>
  </si>
  <si>
    <r>
      <t xml:space="preserve">(Agua dulce utilizada por) </t>
    </r>
    <r>
      <rPr>
        <b/>
        <sz val="10"/>
        <rFont val="Arial"/>
        <family val="2"/>
      </rPr>
      <t>Explotación de minas y canteras (ISIC 05-09)</t>
    </r>
  </si>
  <si>
    <r>
      <t xml:space="preserve">(Extracción de agua dulce por) </t>
    </r>
    <r>
      <rPr>
        <b/>
        <sz val="10"/>
        <rFont val="Arial"/>
        <family val="2"/>
      </rPr>
      <t>Explotación de minas y canteras (CIIU 05-09)</t>
    </r>
  </si>
  <si>
    <t>Volumen de agua utilizada por las actividades económicas pertenecientes a las industrias Explotación de minas y canteras (ISIC 05-09), ya sea extraída directamente de las fuentes de agua para su propia utilización o provista por la industria del suministro de agua.</t>
  </si>
  <si>
    <t>W2, 25</t>
  </si>
  <si>
    <t>W2, 27</t>
  </si>
  <si>
    <r>
      <t xml:space="preserve">(Agua dulce utilizada por) </t>
    </r>
    <r>
      <rPr>
        <b/>
        <sz val="10"/>
        <rFont val="Arial"/>
        <family val="2"/>
      </rPr>
      <t>Suministro de electricidad, gas, vapor y aire acondicionado (CIIU 35)</t>
    </r>
  </si>
  <si>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</si>
  <si>
    <r>
      <t xml:space="preserve">(Agua dulce utilizada por) </t>
    </r>
    <r>
      <rPr>
        <b/>
        <sz val="10"/>
        <rFont val="Arial"/>
        <family val="2"/>
      </rPr>
      <t>Construcción (CIIU 41-43)</t>
    </r>
  </si>
  <si>
    <t>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</si>
  <si>
    <t>W2, 29</t>
  </si>
  <si>
    <t>W3, 12</t>
  </si>
  <si>
    <t>W3, 13</t>
  </si>
  <si>
    <t>W3, 14</t>
  </si>
  <si>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explotación de minas y canteras; industrias manufactureras; suministro de electricidad, gas, vapor y aire acondicionado; construcción y otras actividades económicas) y los hogares. Se excluye el agua de refrigeración.</t>
  </si>
  <si>
    <t>W4, 8</t>
  </si>
  <si>
    <t>W4, 10</t>
  </si>
  <si>
    <t>W4, 14</t>
  </si>
  <si>
    <t>W4, 11 &amp; W4, 15</t>
  </si>
  <si>
    <t>W4, 12 &amp; W4, 16</t>
  </si>
  <si>
    <t>W4, 13 &amp; W4, 17</t>
  </si>
  <si>
    <t>W4, 18</t>
  </si>
  <si>
    <t>W4, 20</t>
  </si>
  <si>
    <t>Podrán hallarse copias de este cuestionario en internet en: https://unstats.un.org/unsd/envstats/questionnaire. Los datos de recopilaciones de datos anteriores podrán consultarse en: https://unstats.un.org/unsd/envstats/qindicators/cshtml.</t>
  </si>
  <si>
    <t>División de Estadística de las Naciones Unidas y Programa de las Naciones Unidas para el Medio Ambiente</t>
  </si>
  <si>
    <r>
      <t xml:space="preserve">La recopilación bienal de datos, actividad conjunta de la División de Estadística de las Naciones Unidas y el Programa de las Naciones Unidas para el Medio Ambiente,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</si>
  <si>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La fuente de los datos incluidos de antemano son los cuestionarios anteriores de la División de Estadística y el Programa de las Naciones Unidas para el Medio Ambiente. Revísense los datos incluidos de antemano y, de ser posible, actualícense en el cuadro. Revísense también las notas a pie de página y corríjanse de ser necesario.</t>
  </si>
  <si>
    <r>
      <rPr>
        <i/>
        <sz val="8"/>
        <rFont val="Arial"/>
        <family val="2"/>
      </rPr>
      <t>de la cual</t>
    </r>
    <r>
      <rPr>
        <sz val="8"/>
        <rFont val="Arial"/>
        <family val="2"/>
      </rPr>
      <t xml:space="preserve"> Riego en agricultura</t>
    </r>
  </si>
  <si>
    <r>
      <t xml:space="preserve">por
    </t>
    </r>
    <r>
      <rPr>
        <sz val="8"/>
        <rFont val="Arial"/>
        <family val="2"/>
      </rPr>
      <t>Agricultura, ganadería, silvicultura y pesca (CIIU 01-03)</t>
    </r>
  </si>
  <si>
    <t xml:space="preserve">    Explotación de minas y canteras (CIIU 05-09)</t>
  </si>
  <si>
    <t xml:space="preserve">    Suministro de electricidad, gas, vapor y aire acondicionado (CIIU 35)</t>
  </si>
  <si>
    <r>
      <rPr>
        <i/>
        <sz val="8"/>
        <rFont val="Arial"/>
        <family val="2"/>
      </rPr>
      <t xml:space="preserve">        de la cual suministrada a:</t>
    </r>
    <r>
      <rPr>
        <sz val="8"/>
        <rFont val="Arial"/>
        <family val="2"/>
      </rPr>
      <t xml:space="preserve">
        Industria de la energía eléctrica (CIIU 351)</t>
    </r>
  </si>
  <si>
    <t xml:space="preserve">    Construcción</t>
  </si>
  <si>
    <r>
      <rPr>
        <i/>
        <sz val="8"/>
        <rFont val="Arial"/>
        <family val="2"/>
      </rPr>
      <t xml:space="preserve">de la cual </t>
    </r>
    <r>
      <rPr>
        <sz val="8"/>
        <rFont val="Arial"/>
        <family val="2"/>
      </rPr>
      <t>Industria de la energía eléctrica (CIIU 351)</t>
    </r>
  </si>
  <si>
    <t>CUESTIONARIO 2020 ESTADÍSTICAS AMBIENTALES</t>
  </si>
  <si>
    <t xml:space="preserve">  UNSD</t>
  </si>
  <si>
    <t xml:space="preserve">Si un país ha respondido a cuestionarios anteriores de la División de Estadística de las Naciones Unidas y el el Programa de las Naciones Unidas para el Medio Ambiente sobre estadísticas ambientales, los datos proporcionados se han incluido de antemano en este cuestionario de 2020. Se pide a los países que agreguen los datos correspondientes a los años posteriores y se cercioren de la coherencia de las series cronológicas. </t>
  </si>
  <si>
    <t>Cambios con respecto al cuestionario de la División de Estadística y el PNUMA de 2018 sobre estadísticas ambientales:</t>
  </si>
  <si>
    <t xml:space="preserve">por correo: UN Statistics Division, Environment Statistics Section, DC2-1516, 2 United Nations Plaza, New York, New York, 10017, USA </t>
  </si>
  <si>
    <t>por teléfono: Reena Shah en el número +1 (212) 963-4586,  Marcus Newbury en el número +1 (212) 963-0092, Xuan Che en el número +1 (917) 367-9065 o Robin Carrington en el número +1 (212) 963-6234.</t>
  </si>
  <si>
    <t>Extracción bruta de agua dulce</t>
  </si>
  <si>
    <t>W2, 7</t>
  </si>
  <si>
    <t>W2, 8</t>
  </si>
  <si>
    <t>W2, 9 &amp; W2, 25</t>
  </si>
  <si>
    <t>W2, 10</t>
  </si>
  <si>
    <t>W2, 12</t>
  </si>
  <si>
    <t xml:space="preserve">W2, 15
</t>
  </si>
  <si>
    <t xml:space="preserve">W2, 19
</t>
  </si>
  <si>
    <t>Agua retornada sin usar</t>
  </si>
  <si>
    <t>Extracción neta de agua dulce</t>
  </si>
  <si>
    <t>Agua descargada en aguas dulces sin haber sido usada o antes de ser usada. Esto ocurre principalmente durante procesos de minería y construcción. Se excluyen las descargas en el mar.</t>
  </si>
  <si>
    <t>Extracción neta de agua dulce = Extracción bruta de agua dulce - agua retornada sin usar.</t>
  </si>
  <si>
    <t xml:space="preserve">W2, 21
</t>
  </si>
  <si>
    <t>W2, 23</t>
  </si>
  <si>
    <t>W2, 28</t>
  </si>
  <si>
    <t>W2, 30</t>
  </si>
  <si>
    <t>W2, 31</t>
  </si>
  <si>
    <t>W3, 2</t>
  </si>
  <si>
    <t>Extracción neta de agua dulce (=3-4)</t>
  </si>
  <si>
    <t>Las pérdidas durante el transporte incluyen la evaporación y las fugas, y deben ser mayores o iguales al cuadro W3, línea 2 (que corresponde únicamente a la CIIU 36).</t>
  </si>
  <si>
    <t>El agua retornada sin usar es el agua descargada en aguas dulces sin haber sido utilizada o antes de ser utilizada. Esto suele suceder en actividades de minería y construcción. No incluye las descargas en el mar.</t>
  </si>
  <si>
    <t>Total freshwater available for use (=5+16+17+18-19)</t>
  </si>
  <si>
    <t>Line 5+16+17+18-19</t>
  </si>
  <si>
    <t>Line 3=32</t>
  </si>
  <si>
    <t>Line 6+7+8+10+11+12+14+15</t>
  </si>
  <si>
    <t>Line 5=34</t>
  </si>
  <si>
    <t>Total freshwater use (=20-21)</t>
  </si>
  <si>
    <t>Line 20-21</t>
  </si>
  <si>
    <t>Water returned without use</t>
  </si>
  <si>
    <t>Net freshwater abstracted (=3-4)</t>
  </si>
  <si>
    <t xml:space="preserve">Después de un diálogo con las principales partes interesadas y los países, "Agua retornada sin usar" y " Extracción neta de agua dulce" reaparecen en la Tabla W2 del Cuestionario de 2020 por primera vez desde la versión de 2010. La variable "Extracción de agua dulce" en la Tabla W2 ha sido renombrada como "Extracción bruta de agua dulce", sin embargo, las dos variables son conceptualmente idénticas.
</t>
  </si>
  <si>
    <t>Freshwater abstracted (=1+2)</t>
  </si>
  <si>
    <t>Net freshwater abstracted 
(=4+5+6+8+9+10+12+13)</t>
  </si>
  <si>
    <t>Line 22=35</t>
  </si>
  <si>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 El agua utilizada para la generación hidroeléctrica es de uso in situ y debe excluirse.</t>
  </si>
  <si>
    <r>
      <t xml:space="preserve"> </t>
    </r>
    <r>
      <rPr>
        <sz val="10"/>
        <rFont val="Arial"/>
        <family val="2"/>
      </rPr>
      <t>= Extracción neta de agua dulce + agua desalinizada + agua reutilizada + importación de agua - exportación de agua.</t>
    </r>
  </si>
  <si>
    <t>Volumen de agua perdida durante el transporte entre un punto de extracción y un punto de utilización, y entre puntos de utilización y reutilización. Se incluyen las pérdidas por fugas y la evaporación. Esto debería ser mayor o igual a las pérdidas durante el transporte según la CIIU 36 (W3, Línea 2).</t>
  </si>
  <si>
    <t>Volumen de agua perdida durante el transporte entre un punto de extracción y un punto de utilización, y entre puntos de utilización y reutilización. Las pérdidas durante el transporte incluyen la evaporación y las fugas, y deben ser inferiores o iguales a la tabla W2, línea 21.</t>
  </si>
  <si>
    <t>Total de agua dulce disponible para utilización (=5+16+17+18-19)</t>
  </si>
  <si>
    <t>Utilización de agua dulce total (=20-21)</t>
  </si>
  <si>
    <t>Extracción bruta de agua dulce (=1+2)</t>
  </si>
  <si>
    <t>B</t>
  </si>
  <si>
    <t>C</t>
  </si>
  <si>
    <t>D</t>
  </si>
  <si>
    <t>No existe aportaciones superficiales a paises vecinos</t>
  </si>
  <si>
    <t>El valor de caudal superficial o subterraneo es obtenido del Plan Nacional de Gestion Integrada de los Recursos Hidricos y actualizada para el periodo 2018 - 2019, el cual sale de analisis de modelos de balance hidrico.</t>
  </si>
  <si>
    <t xml:space="preserve">Informacion del Plan Nacional de Gestion Integrada de los Recursos Hidricos PNGIRH, 2015 y actualizada para el periodo 2018 - 2019. </t>
  </si>
  <si>
    <t xml:space="preserve">Caudal de salida en base al modelo de gestion recurso hidrico del PNGIRH, 2015, actualizado a 2019. </t>
  </si>
  <si>
    <t>E</t>
  </si>
  <si>
    <t>DE</t>
  </si>
  <si>
    <t>El caudal de salida de aguas superficiales y subterráneas hacia el mar se vió reducida producto de la disminución de la precipitación en la cordillera volcánica que drenen hacia la franja costera del país en los años 2018 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</si>
</sst>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4" x14ac:knownFonts="1">
    <font>
      <sz val="10"/>
      <name val="Times New Roman"/>
    </font>
    <font>
      <sz val="10"/>
      <name val="Times New Roman"/>
    </font>
    <font>
      <b/>
      <u/>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b/>
      <sz val="14"/>
      <name val="Arial"/>
      <family val="2"/>
    </font>
    <font>
      <i/>
      <sz val="8"/>
      <name val="Arial"/>
      <family val="2"/>
    </font>
    <font>
      <b/>
      <sz val="11"/>
      <name val="Arial"/>
      <family val="2"/>
    </font>
    <font>
      <sz val="11"/>
      <name val="Arial"/>
      <family val="2"/>
    </font>
    <font>
      <sz val="11"/>
      <name val="Times New Roman"/>
      <family val="1"/>
    </font>
    <font>
      <b/>
      <u/>
      <sz val="12"/>
      <name val="Arial"/>
      <family val="2"/>
    </font>
    <font>
      <sz val="12"/>
      <name val="Arial"/>
      <family val="2"/>
    </font>
    <font>
      <sz val="11"/>
      <name val="Wingdings 2"/>
      <family val="1"/>
      <charset val="2"/>
    </font>
    <font>
      <sz val="10"/>
      <name val="Arial"/>
      <family val="2"/>
    </font>
    <font>
      <vertAlign val="superscript"/>
      <sz val="10"/>
      <name val="Arial"/>
      <family val="2"/>
    </font>
    <font>
      <b/>
      <sz val="10"/>
      <name val="Times New Roman"/>
      <family val="1"/>
    </font>
    <font>
      <sz val="10"/>
      <name val="Times New Roman"/>
      <family val="1"/>
    </font>
    <font>
      <b/>
      <sz val="12"/>
      <color indexed="9"/>
      <name val="Arial"/>
      <family val="2"/>
    </font>
    <font>
      <b/>
      <sz val="12"/>
      <color indexed="9"/>
      <name val="Arial Narrow"/>
      <family val="2"/>
    </font>
    <font>
      <b/>
      <sz val="8"/>
      <color indexed="81"/>
      <name val="Tahoma"/>
      <family val="2"/>
    </font>
    <font>
      <sz val="8"/>
      <color indexed="81"/>
      <name val="Tahoma"/>
      <family val="2"/>
    </font>
    <font>
      <sz val="8"/>
      <color indexed="9"/>
      <name val="Arial"/>
      <family val="2"/>
    </font>
    <font>
      <sz val="10"/>
      <name val="Times New Roman"/>
      <family val="1"/>
    </font>
    <font>
      <b/>
      <sz val="12"/>
      <name val="Arial Narrow"/>
      <family val="2"/>
    </font>
    <font>
      <sz val="10"/>
      <name val="Times New Roman"/>
      <family val="1"/>
    </font>
    <font>
      <sz val="11"/>
      <name val="Arial"/>
      <family val="2"/>
    </font>
    <font>
      <u/>
      <sz val="8"/>
      <name val="Arial"/>
      <family val="2"/>
    </font>
    <font>
      <sz val="6"/>
      <color indexed="9"/>
      <name val="Arial"/>
      <family val="2"/>
    </font>
    <font>
      <sz val="6"/>
      <name val="Arial"/>
      <family val="2"/>
    </font>
    <font>
      <u/>
      <sz val="6"/>
      <name val="Arial"/>
      <family val="2"/>
    </font>
    <font>
      <b/>
      <sz val="6"/>
      <name val="Arial"/>
      <family val="2"/>
    </font>
    <font>
      <sz val="10"/>
      <name val="Times New Roman"/>
      <family val="1"/>
    </font>
    <font>
      <sz val="10"/>
      <color indexed="10"/>
      <name val="Arial"/>
      <family val="2"/>
    </font>
    <font>
      <b/>
      <sz val="8"/>
      <color indexed="10"/>
      <name val="Arial"/>
      <family val="2"/>
    </font>
    <font>
      <b/>
      <sz val="8"/>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b/>
      <u/>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z val="8"/>
      <name val="Times New Roman"/>
      <family val="1"/>
    </font>
    <font>
      <strike/>
      <sz val="10"/>
      <name val="Arial"/>
      <family val="2"/>
    </font>
    <font>
      <b/>
      <sz val="10"/>
      <color indexed="10"/>
      <name val="Times New Roman"/>
      <family val="1"/>
    </font>
    <font>
      <b/>
      <sz val="10"/>
      <name val="Times New Roman"/>
      <family val="1"/>
    </font>
    <font>
      <sz val="8"/>
      <color indexed="53"/>
      <name val="Arial"/>
      <family val="2"/>
    </font>
    <font>
      <i/>
      <sz val="10"/>
      <name val="Arial"/>
      <family val="2"/>
    </font>
    <font>
      <vertAlign val="subscript"/>
      <sz val="10"/>
      <name val="Arial"/>
      <family val="2"/>
    </font>
    <font>
      <b/>
      <sz val="8"/>
      <color indexed="8"/>
      <name val="Arial"/>
      <family val="2"/>
    </font>
    <font>
      <b/>
      <sz val="6"/>
      <color indexed="10"/>
      <name val="Arial"/>
      <family val="2"/>
    </font>
    <font>
      <sz val="9"/>
      <color indexed="81"/>
      <name val="Tahoma"/>
      <family val="2"/>
    </font>
    <font>
      <b/>
      <sz val="18"/>
      <color indexed="48"/>
      <name val="Book Antiqua"/>
      <family val="1"/>
    </font>
    <font>
      <b/>
      <sz val="8"/>
      <color indexed="8"/>
      <name val="Tahoma"/>
      <family val="2"/>
    </font>
    <font>
      <sz val="8"/>
      <color indexed="8"/>
      <name val="Tahoma"/>
      <family val="2"/>
    </font>
    <font>
      <sz val="10"/>
      <name val="Times New Roman"/>
      <family val="1"/>
    </font>
    <font>
      <b/>
      <sz val="16"/>
      <name val="Arial"/>
      <family val="2"/>
    </font>
    <font>
      <sz val="11"/>
      <color theme="1"/>
      <name val="Calibri"/>
      <family val="2"/>
      <scheme val="minor"/>
    </font>
    <font>
      <sz val="10"/>
      <color theme="1"/>
      <name val="Calibri"/>
      <family val="2"/>
      <scheme val="minor"/>
    </font>
    <font>
      <sz val="10"/>
      <color rgb="FFFF0000"/>
      <name val="Times New Roman"/>
      <family val="1"/>
    </font>
    <font>
      <sz val="10"/>
      <color rgb="FFFF0000"/>
      <name val="Arial"/>
      <family val="2"/>
    </font>
    <font>
      <b/>
      <sz val="8"/>
      <color rgb="FFFF0000"/>
      <name val="Arial"/>
      <family val="2"/>
    </font>
    <font>
      <sz val="12"/>
      <color rgb="FFFF0000"/>
      <name val="Arial"/>
      <family val="2"/>
    </font>
    <font>
      <sz val="12"/>
      <color rgb="FFFF0000"/>
      <name val="Times New Roman"/>
      <family val="1"/>
    </font>
    <font>
      <sz val="8"/>
      <color rgb="FFFF0000"/>
      <name val="Times New Roman"/>
      <family val="1"/>
    </font>
  </fonts>
  <fills count="2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2"/>
        <bgColor indexed="0"/>
      </patternFill>
    </fill>
    <fill>
      <patternFill patternType="solid">
        <fgColor indexed="22"/>
        <bgColor indexed="8"/>
      </patternFill>
    </fill>
    <fill>
      <patternFill patternType="solid">
        <fgColor indexed="22"/>
        <bgColor indexed="31"/>
      </patternFill>
    </fill>
    <fill>
      <patternFill patternType="solid">
        <fgColor indexed="44"/>
        <bgColor indexed="49"/>
      </patternFill>
    </fill>
    <fill>
      <patternFill patternType="solid">
        <fgColor indexed="42"/>
        <bgColor indexed="27"/>
      </patternFill>
    </fill>
    <fill>
      <patternFill patternType="solid">
        <fgColor indexed="46"/>
        <bgColor indexed="64"/>
      </patternFill>
    </fill>
    <fill>
      <patternFill patternType="solid">
        <fgColor theme="0" tint="-0.249977111117893"/>
        <bgColor indexed="64"/>
      </patternFill>
    </fill>
    <fill>
      <patternFill patternType="solid">
        <fgColor theme="0" tint="-0.249977111117893"/>
        <bgColor indexed="0"/>
      </patternFill>
    </fill>
    <fill>
      <patternFill patternType="solid">
        <fgColor theme="0" tint="-0.249977111117893"/>
        <bgColor indexed="8"/>
      </patternFill>
    </fill>
    <fill>
      <patternFill patternType="solid">
        <fgColor rgb="FFFFFF99"/>
        <bgColor indexed="64"/>
      </patternFill>
    </fill>
    <fill>
      <patternFill patternType="solid">
        <fgColor rgb="FFC0C0C0"/>
        <bgColor rgb="FF000000"/>
      </patternFill>
    </fill>
  </fills>
  <borders count="92">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8"/>
      </left>
      <right style="medium">
        <color indexed="8"/>
      </right>
      <top style="medium">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22"/>
      </left>
      <right style="thin">
        <color indexed="22"/>
      </right>
      <top/>
      <bottom/>
      <diagonal/>
    </border>
    <border>
      <left style="thin">
        <color indexed="64"/>
      </left>
      <right/>
      <top/>
      <bottom/>
      <diagonal/>
    </border>
    <border>
      <left style="hair">
        <color indexed="64"/>
      </left>
      <right style="hair">
        <color indexed="64"/>
      </right>
      <top style="thin">
        <color indexed="64"/>
      </top>
      <bottom/>
      <diagonal/>
    </border>
    <border>
      <left/>
      <right style="hair">
        <color indexed="64"/>
      </right>
      <top/>
      <bottom/>
      <diagonal/>
    </border>
    <border>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8"/>
      </left>
      <right style="hair">
        <color indexed="8"/>
      </right>
      <top style="thin">
        <color indexed="8"/>
      </top>
      <bottom style="thin">
        <color indexed="8"/>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64"/>
      </bottom>
      <diagonal/>
    </border>
    <border>
      <left/>
      <right/>
      <top/>
      <bottom style="thin">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6">
    <xf numFmtId="0" fontId="0" fillId="0" borderId="0"/>
    <xf numFmtId="0" fontId="76" fillId="0" borderId="0"/>
    <xf numFmtId="0" fontId="23" fillId="0" borderId="0"/>
    <xf numFmtId="0" fontId="1" fillId="0" borderId="0"/>
    <xf numFmtId="0" fontId="50" fillId="0" borderId="0"/>
    <xf numFmtId="0" fontId="50" fillId="0" borderId="0"/>
  </cellStyleXfs>
  <cellXfs count="899">
    <xf numFmtId="0" fontId="0" fillId="0" borderId="0" xfId="0"/>
    <xf numFmtId="0" fontId="2" fillId="0" borderId="0" xfId="0" applyFont="1"/>
    <xf numFmtId="0" fontId="3" fillId="0" borderId="0" xfId="0" applyFont="1"/>
    <xf numFmtId="0" fontId="7" fillId="0" borderId="0" xfId="0" applyFont="1"/>
    <xf numFmtId="0" fontId="8" fillId="0" borderId="0" xfId="0" applyFont="1"/>
    <xf numFmtId="0" fontId="3" fillId="0" borderId="0" xfId="0" applyFont="1" applyBorder="1"/>
    <xf numFmtId="0" fontId="0" fillId="0" borderId="0" xfId="0" applyBorder="1"/>
    <xf numFmtId="0" fontId="4" fillId="0" borderId="0" xfId="0" applyFont="1" applyBorder="1"/>
    <xf numFmtId="0" fontId="5" fillId="0" borderId="0" xfId="0" applyFont="1" applyBorder="1"/>
    <xf numFmtId="0" fontId="0" fillId="0" borderId="0" xfId="0" applyFill="1"/>
    <xf numFmtId="0" fontId="3" fillId="0" borderId="0" xfId="0" applyFont="1" applyFill="1"/>
    <xf numFmtId="0" fontId="14" fillId="0" borderId="0" xfId="0" applyFont="1"/>
    <xf numFmtId="0" fontId="17" fillId="0" borderId="0" xfId="0" applyFont="1"/>
    <xf numFmtId="0" fontId="18" fillId="0" borderId="0" xfId="0" applyFont="1" applyBorder="1" applyAlignment="1">
      <alignment wrapText="1"/>
    </xf>
    <xf numFmtId="0" fontId="9" fillId="0" borderId="0" xfId="0" applyFont="1" applyFill="1" applyBorder="1" applyAlignment="1">
      <alignment horizontal="center" vertical="center"/>
    </xf>
    <xf numFmtId="0" fontId="3" fillId="0" borderId="0" xfId="0" applyFont="1" applyAlignment="1">
      <alignment vertical="top" wrapText="1"/>
    </xf>
    <xf numFmtId="0" fontId="23" fillId="0" borderId="0" xfId="0" applyFont="1"/>
    <xf numFmtId="0" fontId="5" fillId="0" borderId="0" xfId="0" applyFont="1" applyBorder="1" applyAlignment="1">
      <alignment horizontal="center" vertical="center"/>
    </xf>
    <xf numFmtId="0" fontId="1" fillId="0" borderId="0" xfId="0" applyFont="1" applyFill="1"/>
    <xf numFmtId="0" fontId="3" fillId="0" borderId="0" xfId="0" applyFont="1" applyAlignment="1">
      <alignment horizontal="center" vertical="center"/>
    </xf>
    <xf numFmtId="0" fontId="4" fillId="0" borderId="0" xfId="0" applyFont="1" applyAlignment="1">
      <alignment horizontal="center" vertical="top"/>
    </xf>
    <xf numFmtId="0" fontId="0" fillId="0" borderId="0" xfId="0" applyAlignment="1">
      <alignment horizontal="left"/>
    </xf>
    <xf numFmtId="0" fontId="29" fillId="0" borderId="0" xfId="0" applyFont="1"/>
    <xf numFmtId="0" fontId="30" fillId="2" borderId="0" xfId="0" applyFont="1" applyFill="1"/>
    <xf numFmtId="0" fontId="3" fillId="2" borderId="0" xfId="0" applyFont="1" applyFill="1"/>
    <xf numFmtId="0" fontId="23" fillId="2" borderId="0" xfId="0" applyFont="1" applyFill="1"/>
    <xf numFmtId="0" fontId="3" fillId="3" borderId="0" xfId="0" applyFont="1" applyFill="1"/>
    <xf numFmtId="0" fontId="14" fillId="0" borderId="2" xfId="0" applyFont="1" applyBorder="1" applyProtection="1">
      <protection locked="0"/>
    </xf>
    <xf numFmtId="0" fontId="14" fillId="0" borderId="2" xfId="0" applyFont="1" applyBorder="1" applyAlignment="1" applyProtection="1">
      <alignment horizontal="center"/>
      <protection locked="0"/>
    </xf>
    <xf numFmtId="0" fontId="15" fillId="0" borderId="2" xfId="0" applyFont="1" applyBorder="1" applyProtection="1">
      <protection locked="0"/>
    </xf>
    <xf numFmtId="0" fontId="16" fillId="0" borderId="2" xfId="0" applyFont="1" applyBorder="1" applyProtection="1">
      <protection locked="0"/>
    </xf>
    <xf numFmtId="0" fontId="0" fillId="0" borderId="0" xfId="0" applyProtection="1">
      <protection locked="0"/>
    </xf>
    <xf numFmtId="0" fontId="16" fillId="0" borderId="0" xfId="0" applyFont="1" applyProtection="1">
      <protection locked="0"/>
    </xf>
    <xf numFmtId="0" fontId="15" fillId="0" borderId="0" xfId="0" applyFont="1" applyBorder="1" applyProtection="1">
      <protection locked="0"/>
    </xf>
    <xf numFmtId="0" fontId="23" fillId="0" borderId="0" xfId="0" applyFont="1" applyProtection="1">
      <protection locked="0"/>
    </xf>
    <xf numFmtId="0" fontId="5" fillId="2" borderId="0" xfId="0" applyFont="1" applyFill="1" applyProtection="1">
      <protection locked="0"/>
    </xf>
    <xf numFmtId="0" fontId="15" fillId="0" borderId="0" xfId="0" applyFont="1" applyFill="1" applyAlignment="1"/>
    <xf numFmtId="0" fontId="9"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5" fillId="0" borderId="0" xfId="0" applyFont="1" applyFill="1" applyAlignment="1">
      <alignment horizontal="left" vertical="center" wrapText="1"/>
    </xf>
    <xf numFmtId="0" fontId="3" fillId="0" borderId="0" xfId="0" applyFont="1" applyFill="1" applyAlignment="1">
      <alignment vertical="top" wrapText="1"/>
    </xf>
    <xf numFmtId="0" fontId="0" fillId="0" borderId="0" xfId="0" applyFont="1" applyFill="1"/>
    <xf numFmtId="0" fontId="3" fillId="0" borderId="0" xfId="0" applyFont="1" applyFill="1" applyAlignment="1"/>
    <xf numFmtId="0" fontId="0" fillId="4" borderId="0" xfId="0" applyFill="1" applyBorder="1"/>
    <xf numFmtId="0" fontId="4" fillId="0" borderId="0" xfId="3" applyFont="1" applyBorder="1" applyProtection="1">
      <protection locked="0"/>
    </xf>
    <xf numFmtId="0" fontId="0" fillId="4" borderId="0" xfId="0" applyFill="1" applyBorder="1" applyAlignment="1">
      <alignment vertical="center" wrapText="1"/>
    </xf>
    <xf numFmtId="0" fontId="5" fillId="2" borderId="0" xfId="0" applyFont="1" applyFill="1" applyAlignment="1"/>
    <xf numFmtId="0" fontId="0" fillId="4" borderId="0" xfId="0" applyFill="1"/>
    <xf numFmtId="0" fontId="45" fillId="4" borderId="0" xfId="0" applyFont="1" applyFill="1"/>
    <xf numFmtId="0" fontId="0" fillId="4" borderId="0" xfId="0" applyFill="1" applyAlignment="1">
      <alignment vertical="center" wrapText="1"/>
    </xf>
    <xf numFmtId="0" fontId="9" fillId="4" borderId="0" xfId="0" applyFont="1" applyFill="1" applyBorder="1" applyAlignment="1">
      <alignment horizontal="center" vertical="center" wrapText="1"/>
    </xf>
    <xf numFmtId="0" fontId="0" fillId="0" borderId="0" xfId="0" applyFont="1"/>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35" fillId="0" borderId="0" xfId="0" applyNumberFormat="1" applyFont="1" applyBorder="1" applyAlignment="1" applyProtection="1">
      <alignment horizontal="left" vertical="center"/>
      <protection locked="0"/>
    </xf>
    <xf numFmtId="0" fontId="20" fillId="0" borderId="0" xfId="0" applyFont="1" applyFill="1"/>
    <xf numFmtId="0" fontId="0" fillId="5" borderId="3" xfId="0" applyFill="1" applyBorder="1" applyAlignment="1">
      <alignment vertical="center" wrapText="1"/>
    </xf>
    <xf numFmtId="0" fontId="43" fillId="5" borderId="4" xfId="0" applyFont="1" applyFill="1" applyBorder="1"/>
    <xf numFmtId="0" fontId="0" fillId="5" borderId="4" xfId="0" applyFill="1" applyBorder="1"/>
    <xf numFmtId="0" fontId="44" fillId="5" borderId="4" xfId="0" applyFont="1" applyFill="1" applyBorder="1"/>
    <xf numFmtId="0" fontId="0" fillId="5" borderId="5" xfId="0" applyFill="1" applyBorder="1"/>
    <xf numFmtId="0" fontId="0" fillId="5" borderId="6" xfId="0" applyFill="1" applyBorder="1" applyAlignment="1">
      <alignment vertical="center" wrapText="1"/>
    </xf>
    <xf numFmtId="0" fontId="0" fillId="5" borderId="7" xfId="0" applyFill="1" applyBorder="1"/>
    <xf numFmtId="0" fontId="0" fillId="5" borderId="8" xfId="0" applyFill="1" applyBorder="1" applyAlignment="1">
      <alignment vertical="center" wrapText="1"/>
    </xf>
    <xf numFmtId="0" fontId="0" fillId="5" borderId="9" xfId="0" applyFill="1" applyBorder="1"/>
    <xf numFmtId="0" fontId="0" fillId="5" borderId="10" xfId="0" applyFill="1" applyBorder="1"/>
    <xf numFmtId="0" fontId="0" fillId="5" borderId="4" xfId="0" applyFill="1" applyBorder="1" applyAlignment="1">
      <alignment vertical="center" wrapText="1"/>
    </xf>
    <xf numFmtId="0" fontId="0" fillId="5" borderId="9"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2" xfId="0" applyFill="1" applyBorder="1"/>
    <xf numFmtId="0" fontId="0" fillId="0" borderId="12" xfId="0" applyFill="1" applyBorder="1"/>
    <xf numFmtId="0" fontId="0" fillId="4" borderId="13" xfId="0" applyFill="1" applyBorder="1"/>
    <xf numFmtId="0" fontId="0" fillId="4" borderId="14" xfId="0" applyFill="1" applyBorder="1" applyAlignment="1">
      <alignment vertical="center" wrapText="1"/>
    </xf>
    <xf numFmtId="0" fontId="0" fillId="4" borderId="15" xfId="0" applyFill="1" applyBorder="1"/>
    <xf numFmtId="0" fontId="0" fillId="0"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xf numFmtId="0" fontId="0" fillId="4" borderId="18" xfId="0" applyFill="1" applyBorder="1"/>
    <xf numFmtId="0" fontId="9" fillId="6" borderId="19" xfId="0" applyFont="1" applyFill="1" applyBorder="1" applyAlignment="1" applyProtection="1">
      <alignment horizontal="center" vertical="center" wrapText="1"/>
    </xf>
    <xf numFmtId="0" fontId="9" fillId="6" borderId="20" xfId="0" applyFont="1" applyFill="1" applyBorder="1" applyAlignment="1" applyProtection="1">
      <alignment horizontal="center" vertical="center" wrapText="1"/>
    </xf>
    <xf numFmtId="0" fontId="9" fillId="6" borderId="21" xfId="0" applyFont="1" applyFill="1" applyBorder="1" applyAlignment="1" applyProtection="1">
      <alignment horizontal="center" vertical="center"/>
    </xf>
    <xf numFmtId="0" fontId="9" fillId="6" borderId="21" xfId="0" applyFont="1" applyFill="1" applyBorder="1" applyAlignment="1" applyProtection="1">
      <alignment horizontal="center" vertical="center" wrapText="1"/>
    </xf>
    <xf numFmtId="0" fontId="9" fillId="4" borderId="0" xfId="0" applyFont="1" applyFill="1" applyBorder="1" applyAlignment="1">
      <alignment horizontal="center"/>
    </xf>
    <xf numFmtId="0" fontId="9" fillId="7" borderId="22" xfId="0" applyFont="1" applyFill="1" applyBorder="1" applyAlignment="1">
      <alignment horizontal="center" vertical="center" wrapText="1"/>
    </xf>
    <xf numFmtId="0" fontId="9" fillId="0" borderId="0" xfId="0" applyFont="1" applyBorder="1" applyAlignment="1">
      <alignment horizontal="center"/>
    </xf>
    <xf numFmtId="0" fontId="44" fillId="4" borderId="0" xfId="0" applyFont="1" applyFill="1" applyBorder="1" applyAlignment="1">
      <alignment horizontal="center"/>
    </xf>
    <xf numFmtId="0" fontId="9" fillId="8"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6" fillId="0" borderId="0" xfId="0" applyFont="1"/>
    <xf numFmtId="0" fontId="46" fillId="0" borderId="0" xfId="0" applyFont="1" applyFill="1"/>
    <xf numFmtId="0" fontId="5" fillId="0" borderId="0" xfId="0" applyFont="1" applyFill="1" applyAlignment="1"/>
    <xf numFmtId="0" fontId="0" fillId="0" borderId="0" xfId="0" applyFill="1" applyBorder="1" applyAlignment="1">
      <alignment vertical="center" wrapText="1"/>
    </xf>
    <xf numFmtId="0" fontId="35"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6" borderId="23" xfId="0" applyFont="1" applyFill="1" applyBorder="1" applyAlignment="1" applyProtection="1">
      <alignment horizontal="center" vertical="center" wrapText="1"/>
    </xf>
    <xf numFmtId="0" fontId="9" fillId="6" borderId="20" xfId="0" applyFont="1" applyFill="1" applyBorder="1" applyAlignment="1" applyProtection="1">
      <alignment horizontal="center" vertical="center"/>
    </xf>
    <xf numFmtId="0" fontId="9" fillId="6" borderId="0" xfId="0" applyFont="1" applyFill="1" applyBorder="1" applyAlignment="1" applyProtection="1">
      <alignment horizontal="center" vertical="center"/>
    </xf>
    <xf numFmtId="0" fontId="9" fillId="6" borderId="19" xfId="0" applyFont="1" applyFill="1" applyBorder="1" applyAlignment="1" applyProtection="1">
      <alignment horizontal="center" vertical="center"/>
    </xf>
    <xf numFmtId="0" fontId="4" fillId="0" borderId="0" xfId="0" applyFont="1" applyFill="1" applyAlignment="1">
      <alignment horizontal="center" vertical="top"/>
    </xf>
    <xf numFmtId="0" fontId="28" fillId="0" borderId="0" xfId="0" applyFont="1" applyFill="1" applyAlignment="1">
      <alignment horizontal="center"/>
    </xf>
    <xf numFmtId="0" fontId="59" fillId="0" borderId="0" xfId="0" applyFont="1" applyFill="1"/>
    <xf numFmtId="0" fontId="59" fillId="0" borderId="0" xfId="0" applyFont="1" applyFill="1" applyBorder="1" applyAlignment="1">
      <alignment vertical="top" wrapText="1"/>
    </xf>
    <xf numFmtId="0" fontId="59" fillId="0" borderId="0" xfId="0" applyFont="1" applyFill="1" applyAlignment="1">
      <alignment horizontal="center" vertical="center"/>
    </xf>
    <xf numFmtId="0" fontId="1" fillId="0" borderId="0" xfId="0" applyFont="1" applyFill="1" applyBorder="1" applyAlignment="1">
      <alignment vertical="center" wrapText="1"/>
    </xf>
    <xf numFmtId="0" fontId="6" fillId="6" borderId="19" xfId="0" applyFont="1" applyFill="1" applyBorder="1" applyAlignment="1" applyProtection="1">
      <alignment horizontal="center" vertical="center" wrapText="1"/>
    </xf>
    <xf numFmtId="0" fontId="62" fillId="0" borderId="0" xfId="0" applyFont="1" applyFill="1"/>
    <xf numFmtId="0" fontId="35" fillId="0" borderId="0" xfId="0" applyFont="1" applyBorder="1" applyAlignment="1" applyProtection="1">
      <alignment horizontal="left" vertical="center" wrapText="1"/>
      <protection locked="0"/>
    </xf>
    <xf numFmtId="0" fontId="1" fillId="0" borderId="0" xfId="0" applyFont="1" applyFill="1" applyBorder="1" applyProtection="1">
      <protection locked="0"/>
    </xf>
    <xf numFmtId="0" fontId="9" fillId="0" borderId="2" xfId="0" applyFont="1" applyFill="1" applyBorder="1" applyAlignment="1">
      <alignment horizontal="center" vertical="center" wrapText="1"/>
    </xf>
    <xf numFmtId="0" fontId="39" fillId="0" borderId="24" xfId="0" applyFont="1" applyFill="1" applyBorder="1" applyAlignment="1">
      <alignment vertical="top" wrapText="1"/>
    </xf>
    <xf numFmtId="0" fontId="9" fillId="6" borderId="0" xfId="0" applyFont="1" applyFill="1" applyBorder="1" applyAlignment="1" applyProtection="1">
      <alignment horizontal="center" vertical="center" wrapText="1"/>
    </xf>
    <xf numFmtId="0" fontId="9" fillId="6" borderId="25" xfId="0" applyFont="1" applyFill="1" applyBorder="1" applyAlignment="1" applyProtection="1">
      <alignment horizontal="center" vertical="center"/>
    </xf>
    <xf numFmtId="0" fontId="9" fillId="6" borderId="26" xfId="0" applyFont="1" applyFill="1" applyBorder="1" applyAlignment="1" applyProtection="1">
      <alignment horizontal="center" vertical="center"/>
    </xf>
    <xf numFmtId="0" fontId="9" fillId="6" borderId="27" xfId="0" applyFont="1" applyFill="1" applyBorder="1" applyAlignment="1" applyProtection="1">
      <alignment horizontal="center" vertical="center"/>
    </xf>
    <xf numFmtId="0" fontId="5" fillId="4" borderId="0" xfId="0" applyFont="1" applyFill="1" applyBorder="1"/>
    <xf numFmtId="0" fontId="5" fillId="4" borderId="0" xfId="0" applyFont="1" applyFill="1" applyBorder="1" applyAlignment="1">
      <alignment wrapText="1"/>
    </xf>
    <xf numFmtId="0" fontId="14" fillId="4" borderId="28" xfId="0" applyFont="1" applyFill="1" applyBorder="1"/>
    <xf numFmtId="0" fontId="14" fillId="4" borderId="0" xfId="0" applyFont="1" applyFill="1" applyBorder="1"/>
    <xf numFmtId="0" fontId="7" fillId="4" borderId="0" xfId="0" applyFont="1" applyFill="1"/>
    <xf numFmtId="0" fontId="14" fillId="4" borderId="2" xfId="0" applyFont="1" applyFill="1" applyBorder="1"/>
    <xf numFmtId="0" fontId="12" fillId="4" borderId="0" xfId="0" applyFont="1" applyFill="1"/>
    <xf numFmtId="0" fontId="2" fillId="0" borderId="0" xfId="0" applyFont="1" applyFill="1"/>
    <xf numFmtId="0" fontId="3" fillId="0" borderId="0" xfId="0" applyFont="1" applyFill="1" applyBorder="1" applyAlignment="1">
      <alignment wrapText="1"/>
    </xf>
    <xf numFmtId="0" fontId="4" fillId="0" borderId="0" xfId="0" applyFont="1" applyFill="1" applyBorder="1"/>
    <xf numFmtId="0" fontId="3" fillId="0" borderId="0" xfId="0" applyFont="1" applyFill="1" applyBorder="1"/>
    <xf numFmtId="0" fontId="23" fillId="0" borderId="0" xfId="0" applyFont="1" applyFill="1"/>
    <xf numFmtId="0" fontId="23" fillId="0" borderId="0" xfId="0" applyFont="1" applyFill="1" applyAlignment="1">
      <alignment wrapText="1"/>
    </xf>
    <xf numFmtId="0" fontId="3" fillId="0" borderId="0" xfId="0" applyNumberFormat="1" applyFont="1" applyFill="1" applyAlignment="1">
      <alignment vertical="top" wrapText="1"/>
    </xf>
    <xf numFmtId="0" fontId="3" fillId="0" borderId="0" xfId="0" applyFont="1" applyFill="1" applyAlignment="1">
      <alignment vertical="center" wrapText="1"/>
    </xf>
    <xf numFmtId="0" fontId="20" fillId="0" borderId="0" xfId="0" applyNumberFormat="1" applyFont="1" applyFill="1" applyBorder="1" applyAlignment="1">
      <alignment horizontal="left" vertical="top" wrapText="1"/>
    </xf>
    <xf numFmtId="0" fontId="20" fillId="0" borderId="0" xfId="0" applyFont="1" applyFill="1" applyAlignment="1">
      <alignment horizontal="left" vertical="top" wrapText="1"/>
    </xf>
    <xf numFmtId="0" fontId="0" fillId="0" borderId="0" xfId="0" applyFill="1" applyAlignment="1">
      <alignment horizontal="left" vertical="top" wrapText="1"/>
    </xf>
    <xf numFmtId="0" fontId="5" fillId="0" borderId="0" xfId="0" applyFont="1" applyAlignment="1">
      <alignment horizontal="left"/>
    </xf>
    <xf numFmtId="0" fontId="19" fillId="0" borderId="0" xfId="0" applyFont="1" applyFill="1" applyAlignment="1">
      <alignment horizontal="left" vertical="top" wrapText="1" indent="4"/>
    </xf>
    <xf numFmtId="0" fontId="3" fillId="0" borderId="0" xfId="0" applyFont="1" applyFill="1" applyBorder="1" applyAlignment="1">
      <alignment horizontal="left" vertical="top" wrapText="1"/>
    </xf>
    <xf numFmtId="0" fontId="19" fillId="0" borderId="0" xfId="0" applyFont="1" applyFill="1" applyAlignment="1">
      <alignment horizontal="left" vertical="top" indent="4"/>
    </xf>
    <xf numFmtId="0" fontId="4" fillId="0" borderId="0" xfId="0" applyFont="1" applyFill="1" applyAlignment="1">
      <alignment horizontal="left" vertical="center"/>
    </xf>
    <xf numFmtId="0" fontId="3" fillId="0" borderId="0" xfId="0" applyFont="1" applyFill="1" applyAlignment="1">
      <alignment horizontal="left" vertical="center" wrapText="1"/>
    </xf>
    <xf numFmtId="0" fontId="23" fillId="0" borderId="0" xfId="0" applyFont="1" applyFill="1" applyAlignment="1">
      <alignment horizontal="left" vertical="center" wrapText="1"/>
    </xf>
    <xf numFmtId="0" fontId="15" fillId="0" borderId="0" xfId="0" applyFont="1" applyFill="1" applyAlignment="1">
      <alignment horizontal="left" vertical="top" indent="4"/>
    </xf>
    <xf numFmtId="0" fontId="3" fillId="0" borderId="0" xfId="0" applyFont="1" applyFill="1" applyAlignment="1">
      <alignment horizontal="left" vertical="center"/>
    </xf>
    <xf numFmtId="0" fontId="3" fillId="0" borderId="0" xfId="0" applyFont="1" applyFill="1" applyAlignment="1">
      <alignment horizontal="left" vertical="top" indent="4"/>
    </xf>
    <xf numFmtId="0" fontId="32"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0" fillId="0" borderId="0" xfId="0" applyFont="1" applyFill="1" applyAlignment="1">
      <alignment vertical="top" wrapText="1"/>
    </xf>
    <xf numFmtId="0" fontId="0" fillId="0" borderId="0" xfId="0" applyFill="1" applyAlignment="1">
      <alignment vertical="top" wrapText="1"/>
    </xf>
    <xf numFmtId="0" fontId="3" fillId="0" borderId="22" xfId="0" applyFont="1" applyFill="1" applyBorder="1" applyAlignment="1">
      <alignment horizontal="center" vertical="top" wrapText="1"/>
    </xf>
    <xf numFmtId="0" fontId="3" fillId="0" borderId="22" xfId="0" applyFont="1" applyFill="1" applyBorder="1" applyAlignment="1">
      <alignment horizontal="center"/>
    </xf>
    <xf numFmtId="0" fontId="3" fillId="0" borderId="29" xfId="0" applyFont="1" applyFill="1" applyBorder="1" applyAlignment="1">
      <alignment horizontal="center" vertical="top" wrapText="1"/>
    </xf>
    <xf numFmtId="0" fontId="12" fillId="0" borderId="0" xfId="0" applyFont="1" applyFill="1" applyAlignment="1">
      <alignment vertical="top" wrapText="1"/>
    </xf>
    <xf numFmtId="0" fontId="5" fillId="0" borderId="0" xfId="0" applyFont="1" applyFill="1" applyAlignment="1">
      <alignment vertical="top" wrapText="1"/>
    </xf>
    <xf numFmtId="0" fontId="4" fillId="0" borderId="30" xfId="0" applyFont="1" applyFill="1" applyBorder="1" applyAlignment="1">
      <alignment horizontal="center" vertical="center" wrapText="1"/>
    </xf>
    <xf numFmtId="0" fontId="2" fillId="0" borderId="31" xfId="0" applyFont="1" applyFill="1" applyBorder="1" applyAlignment="1">
      <alignment horizontal="left" vertical="top" wrapText="1"/>
    </xf>
    <xf numFmtId="0" fontId="4" fillId="0" borderId="22" xfId="0" applyFont="1" applyFill="1" applyBorder="1" applyAlignment="1">
      <alignment vertical="top" wrapText="1"/>
    </xf>
    <xf numFmtId="0" fontId="3" fillId="0" borderId="32" xfId="0" applyFont="1" applyFill="1" applyBorder="1" applyAlignment="1">
      <alignment vertical="top" wrapText="1"/>
    </xf>
    <xf numFmtId="0" fontId="4" fillId="0" borderId="33" xfId="0" applyFont="1" applyFill="1" applyBorder="1" applyAlignment="1">
      <alignment vertical="top" wrapText="1"/>
    </xf>
    <xf numFmtId="0" fontId="2" fillId="0" borderId="31" xfId="0" applyFont="1" applyFill="1" applyBorder="1" applyAlignment="1">
      <alignment vertical="top" wrapText="1"/>
    </xf>
    <xf numFmtId="0" fontId="3" fillId="0" borderId="32" xfId="0" applyNumberFormat="1" applyFont="1" applyFill="1" applyBorder="1" applyAlignment="1">
      <alignment vertical="top" wrapText="1"/>
    </xf>
    <xf numFmtId="0" fontId="4" fillId="0" borderId="0" xfId="0" applyFont="1" applyFill="1" applyAlignment="1">
      <alignment vertical="top"/>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31" xfId="0" applyFont="1" applyFill="1" applyBorder="1" applyAlignment="1">
      <alignment horizontal="left" vertical="top"/>
    </xf>
    <xf numFmtId="0" fontId="3" fillId="0" borderId="32" xfId="0" applyFont="1" applyFill="1" applyBorder="1" applyAlignment="1" applyProtection="1">
      <alignment horizontal="justify" vertical="top" wrapText="1"/>
    </xf>
    <xf numFmtId="0" fontId="3" fillId="0" borderId="32"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31" xfId="0" applyFont="1" applyFill="1" applyBorder="1" applyAlignment="1">
      <alignment vertical="top"/>
    </xf>
    <xf numFmtId="0" fontId="3" fillId="0" borderId="32" xfId="0" applyFont="1" applyFill="1" applyBorder="1" applyAlignment="1" applyProtection="1">
      <alignment vertical="top" wrapText="1"/>
    </xf>
    <xf numFmtId="0" fontId="3" fillId="0" borderId="32" xfId="0" applyNumberFormat="1" applyFont="1" applyFill="1" applyBorder="1" applyAlignment="1">
      <alignment horizontal="left" vertical="top" wrapText="1"/>
    </xf>
    <xf numFmtId="0" fontId="4" fillId="0" borderId="31" xfId="0" applyFont="1" applyFill="1" applyBorder="1" applyAlignment="1">
      <alignment vertical="top" wrapText="1"/>
    </xf>
    <xf numFmtId="0" fontId="3" fillId="0" borderId="22" xfId="0" applyFont="1" applyFill="1" applyBorder="1" applyAlignment="1">
      <alignment vertical="top" wrapText="1"/>
    </xf>
    <xf numFmtId="0" fontId="3" fillId="0" borderId="36" xfId="0" applyFont="1" applyFill="1" applyBorder="1" applyAlignment="1">
      <alignment vertical="top" wrapText="1"/>
    </xf>
    <xf numFmtId="0" fontId="3" fillId="0" borderId="37" xfId="0" applyFont="1" applyFill="1" applyBorder="1" applyAlignment="1">
      <alignment vertical="top" wrapText="1"/>
    </xf>
    <xf numFmtId="0" fontId="4" fillId="0" borderId="38" xfId="0" applyFont="1" applyFill="1" applyBorder="1" applyAlignment="1">
      <alignment vertical="top" wrapText="1"/>
    </xf>
    <xf numFmtId="0" fontId="3" fillId="0" borderId="38" xfId="0" applyFont="1" applyFill="1" applyBorder="1" applyAlignment="1">
      <alignment vertical="top" wrapText="1"/>
    </xf>
    <xf numFmtId="0" fontId="4" fillId="0" borderId="38" xfId="0"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4" fillId="0" borderId="8" xfId="0" applyFont="1" applyFill="1" applyBorder="1" applyAlignment="1">
      <alignment vertical="top"/>
    </xf>
    <xf numFmtId="0" fontId="4" fillId="0" borderId="40" xfId="0" applyFont="1" applyFill="1" applyBorder="1" applyAlignment="1">
      <alignment horizontal="left" vertical="top" wrapText="1"/>
    </xf>
    <xf numFmtId="0" fontId="3" fillId="0" borderId="41" xfId="0" applyNumberFormat="1" applyFont="1" applyFill="1" applyBorder="1" applyAlignment="1">
      <alignment horizontal="left" vertical="top" wrapText="1"/>
    </xf>
    <xf numFmtId="0" fontId="4" fillId="0" borderId="0" xfId="3" applyFont="1" applyFill="1" applyBorder="1"/>
    <xf numFmtId="0" fontId="4" fillId="0" borderId="0" xfId="3" applyFont="1" applyFill="1" applyBorder="1" applyAlignment="1">
      <alignment horizontal="center"/>
    </xf>
    <xf numFmtId="0" fontId="4" fillId="0" borderId="0" xfId="0" applyFont="1" applyFill="1" applyBorder="1" applyAlignment="1">
      <alignment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center" vertical="center" wrapText="1"/>
    </xf>
    <xf numFmtId="49" fontId="2"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4" fillId="0" borderId="40" xfId="0" applyFont="1" applyFill="1" applyBorder="1" applyAlignment="1">
      <alignment vertical="top" wrapText="1"/>
    </xf>
    <xf numFmtId="0" fontId="4" fillId="0" borderId="41" xfId="0" applyFont="1" applyFill="1" applyBorder="1" applyAlignment="1">
      <alignment vertical="top" wrapText="1"/>
    </xf>
    <xf numFmtId="0" fontId="0" fillId="6" borderId="0" xfId="0" applyFill="1" applyAlignment="1" applyProtection="1">
      <alignment horizontal="center"/>
    </xf>
    <xf numFmtId="0" fontId="10" fillId="6" borderId="0" xfId="0" applyFont="1" applyFill="1" applyAlignment="1" applyProtection="1">
      <alignment horizontal="right"/>
    </xf>
    <xf numFmtId="0" fontId="5" fillId="2" borderId="0" xfId="0" applyFont="1" applyFill="1" applyProtection="1"/>
    <xf numFmtId="0" fontId="24" fillId="2" borderId="0" xfId="0" applyFont="1" applyFill="1" applyAlignment="1" applyProtection="1">
      <alignment horizontal="center"/>
    </xf>
    <xf numFmtId="0" fontId="25" fillId="2" borderId="0" xfId="0" applyFont="1" applyFill="1" applyBorder="1" applyAlignment="1" applyProtection="1">
      <alignment wrapText="1"/>
    </xf>
    <xf numFmtId="0" fontId="25" fillId="2" borderId="0" xfId="0" applyFont="1" applyFill="1" applyBorder="1" applyProtection="1"/>
    <xf numFmtId="0" fontId="28" fillId="2" borderId="0" xfId="0" applyFont="1" applyFill="1" applyAlignment="1" applyProtection="1">
      <alignment horizontal="center" vertical="center"/>
    </xf>
    <xf numFmtId="0" fontId="34" fillId="2" borderId="0" xfId="0" applyFont="1" applyFill="1" applyAlignment="1" applyProtection="1">
      <alignment horizontal="left" vertical="center" wrapText="1"/>
    </xf>
    <xf numFmtId="0" fontId="28" fillId="2" borderId="0" xfId="0" applyFont="1" applyFill="1" applyAlignment="1" applyProtection="1">
      <alignment horizontal="center" vertical="center" wrapText="1"/>
    </xf>
    <xf numFmtId="0" fontId="3" fillId="2" borderId="0" xfId="0" applyFont="1" applyFill="1" applyProtection="1"/>
    <xf numFmtId="0" fontId="0" fillId="2" borderId="0" xfId="0" applyFill="1" applyProtection="1"/>
    <xf numFmtId="0" fontId="0" fillId="6" borderId="0" xfId="0" applyFill="1" applyProtection="1"/>
    <xf numFmtId="0" fontId="47" fillId="6" borderId="0" xfId="0" applyFont="1" applyFill="1" applyBorder="1" applyAlignment="1" applyProtection="1">
      <alignment horizontal="left"/>
    </xf>
    <xf numFmtId="0" fontId="0" fillId="0" borderId="0" xfId="0" applyProtection="1"/>
    <xf numFmtId="0" fontId="5" fillId="0" borderId="0" xfId="0" applyFont="1" applyFill="1" applyProtection="1"/>
    <xf numFmtId="0" fontId="24" fillId="0" borderId="0" xfId="0" applyFont="1" applyFill="1" applyAlignment="1" applyProtection="1">
      <alignment horizontal="center"/>
    </xf>
    <xf numFmtId="0" fontId="25" fillId="0" borderId="0" xfId="0" applyFont="1" applyFill="1" applyBorder="1" applyAlignment="1" applyProtection="1">
      <alignment wrapText="1"/>
    </xf>
    <xf numFmtId="0" fontId="25" fillId="0" borderId="0" xfId="0" applyFont="1" applyFill="1" applyProtection="1"/>
    <xf numFmtId="0" fontId="28"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28" fillId="0" borderId="0" xfId="0" applyFont="1" applyFill="1" applyAlignment="1" applyProtection="1">
      <alignment horizontal="center" vertical="center" wrapText="1"/>
    </xf>
    <xf numFmtId="0" fontId="3" fillId="0" borderId="0" xfId="0" applyFont="1" applyFill="1" applyProtection="1"/>
    <xf numFmtId="0" fontId="0" fillId="0" borderId="0" xfId="0" applyFill="1" applyProtection="1"/>
    <xf numFmtId="0" fontId="14" fillId="0" borderId="2" xfId="0" applyFont="1" applyFill="1" applyBorder="1" applyProtection="1"/>
    <xf numFmtId="0" fontId="9" fillId="0" borderId="2" xfId="0" applyFont="1" applyFill="1" applyBorder="1" applyAlignment="1" applyProtection="1">
      <alignment horizontal="center" vertical="center"/>
    </xf>
    <xf numFmtId="0" fontId="35" fillId="0" borderId="2"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wrapText="1"/>
    </xf>
    <xf numFmtId="0" fontId="35"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0" fillId="0" borderId="0" xfId="0" applyFill="1" applyBorder="1" applyProtection="1"/>
    <xf numFmtId="0" fontId="52" fillId="6" borderId="0" xfId="0" applyFont="1" applyFill="1" applyProtection="1"/>
    <xf numFmtId="0" fontId="45" fillId="6" borderId="0" xfId="0" applyFont="1" applyFill="1" applyProtection="1"/>
    <xf numFmtId="0" fontId="1" fillId="6" borderId="0" xfId="0" applyFont="1" applyFill="1" applyAlignment="1" applyProtection="1">
      <alignment horizontal="center"/>
    </xf>
    <xf numFmtId="0" fontId="3" fillId="3" borderId="0" xfId="0" applyFont="1" applyFill="1" applyBorder="1" applyProtection="1"/>
    <xf numFmtId="0" fontId="1" fillId="3" borderId="0" xfId="0" applyFont="1" applyFill="1" applyBorder="1" applyProtection="1"/>
    <xf numFmtId="0" fontId="1" fillId="6" borderId="0" xfId="0" applyFont="1" applyFill="1" applyProtection="1"/>
    <xf numFmtId="0" fontId="52" fillId="6" borderId="0" xfId="0" applyFont="1" applyFill="1" applyAlignment="1" applyProtection="1">
      <alignment vertical="top"/>
    </xf>
    <xf numFmtId="0" fontId="1" fillId="0" borderId="0" xfId="0" applyFont="1" applyProtection="1"/>
    <xf numFmtId="0" fontId="0" fillId="0" borderId="0" xfId="0" applyAlignment="1" applyProtection="1">
      <alignment horizontal="center"/>
    </xf>
    <xf numFmtId="0" fontId="3" fillId="0" borderId="0" xfId="0" applyFont="1" applyAlignment="1" applyProtection="1">
      <alignment wrapText="1"/>
    </xf>
    <xf numFmtId="0" fontId="3" fillId="0" borderId="0" xfId="0" applyFont="1" applyProtection="1"/>
    <xf numFmtId="0" fontId="9" fillId="0" borderId="0" xfId="0" applyFont="1" applyAlignment="1" applyProtection="1">
      <alignment horizontal="center" vertical="center"/>
    </xf>
    <xf numFmtId="0" fontId="35" fillId="0" borderId="0" xfId="0" applyFont="1" applyAlignment="1" applyProtection="1">
      <alignment horizontal="left" vertical="center" wrapText="1"/>
    </xf>
    <xf numFmtId="0" fontId="9" fillId="0" borderId="0" xfId="0" applyFont="1" applyAlignment="1" applyProtection="1">
      <alignment horizontal="center" vertical="center" wrapText="1"/>
    </xf>
    <xf numFmtId="0" fontId="9" fillId="0" borderId="0" xfId="0" applyFont="1" applyFill="1" applyAlignment="1" applyProtection="1">
      <alignment horizontal="center" vertical="center"/>
    </xf>
    <xf numFmtId="0" fontId="42" fillId="0" borderId="2" xfId="0" applyFont="1" applyFill="1" applyBorder="1" applyAlignment="1" applyProtection="1"/>
    <xf numFmtId="0" fontId="0" fillId="0" borderId="0" xfId="0" applyFill="1" applyAlignment="1" applyProtection="1"/>
    <xf numFmtId="0" fontId="53" fillId="6" borderId="0" xfId="0" applyFont="1" applyFill="1" applyProtection="1"/>
    <xf numFmtId="0" fontId="68" fillId="9" borderId="33" xfId="4" applyFont="1" applyFill="1" applyBorder="1" applyAlignment="1" applyProtection="1">
      <alignment horizontal="center"/>
    </xf>
    <xf numFmtId="0" fontId="68" fillId="9" borderId="33" xfId="4" applyFont="1" applyFill="1" applyBorder="1" applyAlignment="1" applyProtection="1">
      <alignment horizontal="center" wrapText="1"/>
    </xf>
    <xf numFmtId="0" fontId="10" fillId="6" borderId="0" xfId="0" applyFont="1" applyFill="1" applyAlignment="1" applyProtection="1">
      <alignment horizontal="center" vertical="center"/>
    </xf>
    <xf numFmtId="0" fontId="10" fillId="6" borderId="0" xfId="0" applyFont="1" applyFill="1" applyAlignment="1" applyProtection="1">
      <alignment horizontal="right" vertical="center"/>
    </xf>
    <xf numFmtId="0" fontId="6" fillId="6" borderId="47" xfId="0" applyFont="1" applyFill="1" applyBorder="1" applyAlignment="1" applyProtection="1">
      <alignment horizontal="center" vertical="center" wrapText="1"/>
    </xf>
    <xf numFmtId="0" fontId="6" fillId="6" borderId="47" xfId="0" applyFont="1" applyFill="1" applyBorder="1" applyAlignment="1" applyProtection="1">
      <alignment horizontal="center" vertical="center"/>
    </xf>
    <xf numFmtId="0" fontId="37" fillId="6" borderId="47" xfId="0" applyFont="1" applyFill="1" applyBorder="1" applyAlignment="1" applyProtection="1">
      <alignment horizontal="left" vertical="center" wrapText="1"/>
    </xf>
    <xf numFmtId="0" fontId="10" fillId="0" borderId="0" xfId="0" applyFont="1" applyAlignment="1" applyProtection="1">
      <alignment horizontal="center" vertical="center"/>
    </xf>
    <xf numFmtId="0" fontId="68" fillId="10" borderId="1" xfId="5" applyFont="1" applyFill="1" applyBorder="1" applyAlignment="1" applyProtection="1">
      <alignment horizontal="right" wrapText="1"/>
    </xf>
    <xf numFmtId="0" fontId="0" fillId="6" borderId="0" xfId="0" applyFill="1" applyAlignment="1" applyProtection="1">
      <alignment horizontal="center" vertical="center"/>
    </xf>
    <xf numFmtId="0" fontId="9" fillId="6" borderId="0" xfId="0" applyFont="1" applyFill="1" applyAlignment="1" applyProtection="1">
      <alignment horizontal="right" vertical="center" wrapText="1"/>
    </xf>
    <xf numFmtId="0" fontId="9" fillId="0" borderId="19" xfId="0" applyFont="1" applyBorder="1" applyAlignment="1" applyProtection="1">
      <alignment horizontal="center" vertical="center"/>
    </xf>
    <xf numFmtId="0" fontId="9" fillId="0" borderId="19" xfId="0" applyFont="1" applyBorder="1" applyAlignment="1" applyProtection="1">
      <alignment horizontal="left" vertical="center" wrapText="1"/>
    </xf>
    <xf numFmtId="0" fontId="9" fillId="0" borderId="19" xfId="0" applyFont="1" applyFill="1" applyBorder="1" applyAlignment="1" applyProtection="1">
      <alignment horizontal="center" vertical="center"/>
    </xf>
    <xf numFmtId="0" fontId="0" fillId="0" borderId="0" xfId="0" applyAlignment="1" applyProtection="1">
      <alignment vertical="center"/>
    </xf>
    <xf numFmtId="0" fontId="0" fillId="6" borderId="0" xfId="0" applyFill="1" applyAlignment="1" applyProtection="1">
      <alignment vertical="center"/>
    </xf>
    <xf numFmtId="0" fontId="9" fillId="6" borderId="48" xfId="0" applyFont="1" applyFill="1" applyBorder="1" applyAlignment="1" applyProtection="1">
      <alignment horizontal="left" vertical="center" wrapText="1"/>
    </xf>
    <xf numFmtId="0" fontId="9" fillId="6" borderId="48" xfId="0" applyFont="1" applyFill="1" applyBorder="1" applyAlignment="1" applyProtection="1">
      <alignment horizontal="center" vertical="center" wrapText="1"/>
    </xf>
    <xf numFmtId="0" fontId="9" fillId="6" borderId="48" xfId="0" applyFont="1" applyFill="1" applyBorder="1" applyAlignment="1" applyProtection="1">
      <alignment horizontal="center" vertical="center"/>
    </xf>
    <xf numFmtId="0" fontId="35" fillId="6" borderId="19" xfId="0" applyFont="1" applyFill="1" applyBorder="1" applyAlignment="1" applyProtection="1">
      <alignment horizontal="left" vertical="center" wrapText="1"/>
    </xf>
    <xf numFmtId="0" fontId="9" fillId="0" borderId="21" xfId="0" applyFont="1" applyBorder="1" applyAlignment="1" applyProtection="1">
      <alignment horizontal="center" vertical="center"/>
    </xf>
    <xf numFmtId="0" fontId="9" fillId="0" borderId="21" xfId="0" applyFont="1" applyBorder="1" applyAlignment="1" applyProtection="1">
      <alignment horizontal="left" vertical="center" wrapText="1"/>
    </xf>
    <xf numFmtId="0" fontId="9" fillId="6" borderId="21" xfId="0" applyFont="1" applyFill="1" applyBorder="1" applyAlignment="1" applyProtection="1">
      <alignment horizontal="left" vertical="center" wrapText="1"/>
    </xf>
    <xf numFmtId="0" fontId="35" fillId="6" borderId="21" xfId="0" applyFont="1" applyFill="1" applyBorder="1" applyAlignment="1" applyProtection="1">
      <alignment horizontal="left" vertical="center" wrapText="1"/>
    </xf>
    <xf numFmtId="0" fontId="1" fillId="6" borderId="0" xfId="0" applyFont="1" applyFill="1" applyAlignment="1" applyProtection="1">
      <alignment horizontal="center" vertical="center"/>
    </xf>
    <xf numFmtId="0" fontId="1" fillId="0" borderId="0" xfId="0" applyFont="1" applyAlignment="1" applyProtection="1">
      <alignment vertical="center"/>
    </xf>
    <xf numFmtId="0" fontId="1" fillId="6" borderId="0" xfId="0" applyFont="1" applyFill="1" applyAlignment="1" applyProtection="1">
      <alignment vertical="center"/>
    </xf>
    <xf numFmtId="0" fontId="9" fillId="0" borderId="21" xfId="0" applyFont="1" applyFill="1" applyBorder="1" applyAlignment="1" applyProtection="1">
      <alignment horizontal="left" vertical="center" wrapText="1"/>
    </xf>
    <xf numFmtId="0" fontId="6" fillId="0" borderId="19" xfId="0" applyFont="1" applyBorder="1" applyAlignment="1" applyProtection="1">
      <alignment horizontal="center" vertical="center"/>
    </xf>
    <xf numFmtId="0" fontId="6" fillId="0" borderId="21" xfId="0" applyFont="1" applyFill="1" applyBorder="1" applyAlignment="1" applyProtection="1">
      <alignment horizontal="left" vertical="center" wrapText="1"/>
    </xf>
    <xf numFmtId="0" fontId="1" fillId="0" borderId="0" xfId="0" applyFont="1" applyFill="1" applyAlignment="1" applyProtection="1">
      <alignment vertical="center"/>
    </xf>
    <xf numFmtId="0" fontId="6" fillId="6" borderId="21" xfId="0" applyFont="1" applyFill="1" applyBorder="1" applyAlignment="1" applyProtection="1">
      <alignment horizontal="left" vertical="center" wrapText="1"/>
    </xf>
    <xf numFmtId="0" fontId="64" fillId="6" borderId="0" xfId="0" applyFont="1" applyFill="1" applyAlignment="1" applyProtection="1">
      <alignment horizontal="center" vertical="center"/>
    </xf>
    <xf numFmtId="0" fontId="9" fillId="6" borderId="49" xfId="0" applyFont="1" applyFill="1" applyBorder="1" applyAlignment="1" applyProtection="1">
      <alignment horizontal="center" vertical="center"/>
    </xf>
    <xf numFmtId="0" fontId="35" fillId="6" borderId="49" xfId="0" applyFont="1" applyFill="1" applyBorder="1" applyAlignment="1" applyProtection="1">
      <alignment horizontal="left" vertical="center" wrapText="1"/>
    </xf>
    <xf numFmtId="0" fontId="9" fillId="0" borderId="49" xfId="0" applyFont="1" applyBorder="1" applyAlignment="1" applyProtection="1">
      <alignment horizontal="center" vertical="center"/>
    </xf>
    <xf numFmtId="0" fontId="13" fillId="6" borderId="23" xfId="0" applyFont="1" applyFill="1" applyBorder="1" applyAlignment="1" applyProtection="1">
      <alignment vertical="center" wrapText="1"/>
    </xf>
    <xf numFmtId="0" fontId="35" fillId="6" borderId="23" xfId="0" applyFont="1" applyFill="1" applyBorder="1" applyAlignment="1" applyProtection="1">
      <alignment horizontal="left" vertical="center" wrapText="1"/>
    </xf>
    <xf numFmtId="0" fontId="9" fillId="6" borderId="21" xfId="0" applyFont="1" applyFill="1" applyBorder="1" applyAlignment="1" applyProtection="1">
      <alignment vertical="center" wrapText="1"/>
    </xf>
    <xf numFmtId="0" fontId="9" fillId="0" borderId="20" xfId="0" applyFont="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0" xfId="0" applyFont="1" applyFill="1" applyBorder="1" applyAlignment="1" applyProtection="1">
      <alignment horizontal="left" vertical="center" wrapText="1"/>
    </xf>
    <xf numFmtId="0" fontId="9" fillId="6" borderId="23" xfId="0" applyFont="1" applyFill="1" applyBorder="1" applyAlignment="1" applyProtection="1">
      <alignment horizontal="center" vertical="center"/>
    </xf>
    <xf numFmtId="0" fontId="9" fillId="6" borderId="50" xfId="0" applyFont="1" applyFill="1" applyBorder="1" applyAlignment="1" applyProtection="1">
      <alignment horizontal="left" vertical="center" wrapText="1"/>
    </xf>
    <xf numFmtId="0" fontId="35" fillId="6" borderId="20" xfId="0" applyFont="1" applyFill="1" applyBorder="1" applyAlignment="1" applyProtection="1">
      <alignment horizontal="left" vertical="center" wrapText="1"/>
    </xf>
    <xf numFmtId="0" fontId="0" fillId="0" borderId="0" xfId="0" applyBorder="1" applyAlignment="1" applyProtection="1">
      <alignment vertical="center"/>
    </xf>
    <xf numFmtId="0" fontId="63" fillId="0" borderId="0" xfId="0" applyFont="1" applyAlignment="1" applyProtection="1">
      <alignment vertical="center"/>
    </xf>
    <xf numFmtId="0" fontId="0" fillId="0" borderId="0" xfId="0" applyAlignment="1" applyProtection="1">
      <alignment wrapText="1"/>
    </xf>
    <xf numFmtId="0" fontId="4" fillId="0" borderId="0" xfId="0" applyFont="1" applyFill="1" applyProtection="1"/>
    <xf numFmtId="0" fontId="5" fillId="0" borderId="0" xfId="0" applyFont="1" applyFill="1" applyAlignment="1" applyProtection="1">
      <alignment horizontal="center"/>
    </xf>
    <xf numFmtId="0" fontId="4" fillId="0" borderId="0" xfId="0" applyFont="1" applyFill="1" applyAlignment="1" applyProtection="1">
      <alignment wrapText="1"/>
    </xf>
    <xf numFmtId="0" fontId="35" fillId="0" borderId="0" xfId="0" applyFont="1" applyFill="1" applyAlignment="1" applyProtection="1">
      <alignment horizontal="left" vertical="center" wrapText="1"/>
    </xf>
    <xf numFmtId="0" fontId="9" fillId="0" borderId="0" xfId="0" applyFont="1" applyFill="1" applyAlignment="1" applyProtection="1">
      <alignment horizontal="center" vertical="center" wrapText="1"/>
    </xf>
    <xf numFmtId="0" fontId="6" fillId="0" borderId="0" xfId="0" applyFont="1" applyFill="1" applyBorder="1" applyAlignment="1" applyProtection="1">
      <alignment horizontal="right" vertical="top"/>
    </xf>
    <xf numFmtId="0" fontId="9" fillId="0" borderId="0" xfId="0" applyFont="1" applyFill="1" applyAlignment="1" applyProtection="1">
      <alignment horizontal="left" vertical="top" wrapText="1"/>
    </xf>
    <xf numFmtId="0" fontId="9" fillId="6" borderId="0" xfId="0" applyFont="1" applyFill="1" applyProtection="1"/>
    <xf numFmtId="0" fontId="51" fillId="6" borderId="19" xfId="0" applyFont="1" applyFill="1" applyBorder="1" applyAlignment="1" applyProtection="1">
      <alignment horizontal="center" vertical="center"/>
    </xf>
    <xf numFmtId="0" fontId="51" fillId="6" borderId="21" xfId="0" applyFont="1" applyFill="1" applyBorder="1" applyAlignment="1" applyProtection="1">
      <alignment horizontal="right" vertical="center" wrapText="1"/>
    </xf>
    <xf numFmtId="0" fontId="0" fillId="0" borderId="0" xfId="0" applyBorder="1" applyProtection="1"/>
    <xf numFmtId="0" fontId="6" fillId="0" borderId="0" xfId="0" applyFont="1" applyFill="1" applyAlignment="1" applyProtection="1">
      <alignment horizontal="left" vertical="top" wrapText="1"/>
    </xf>
    <xf numFmtId="0" fontId="0" fillId="6" borderId="0" xfId="0" applyFont="1" applyFill="1" applyProtection="1"/>
    <xf numFmtId="0" fontId="42" fillId="6" borderId="21" xfId="0" applyFont="1" applyFill="1" applyBorder="1" applyAlignment="1" applyProtection="1">
      <alignment horizontal="center"/>
    </xf>
    <xf numFmtId="0" fontId="0" fillId="6" borderId="0" xfId="0" applyFont="1" applyFill="1" applyBorder="1" applyAlignment="1" applyProtection="1">
      <alignment horizontal="center" vertical="center"/>
    </xf>
    <xf numFmtId="0" fontId="0" fillId="6" borderId="21" xfId="0" applyFill="1" applyBorder="1" applyProtection="1"/>
    <xf numFmtId="0" fontId="42" fillId="0" borderId="0" xfId="0" applyFont="1" applyFill="1" applyAlignment="1" applyProtection="1">
      <alignment horizontal="left" vertical="top" wrapText="1"/>
    </xf>
    <xf numFmtId="0" fontId="9" fillId="0"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42" fillId="4" borderId="0" xfId="0" applyFont="1" applyFill="1" applyBorder="1" applyAlignment="1" applyProtection="1">
      <alignment horizontal="left" vertical="top" wrapText="1"/>
    </xf>
    <xf numFmtId="0" fontId="9" fillId="6" borderId="19" xfId="0" applyFont="1" applyFill="1" applyBorder="1" applyAlignment="1" applyProtection="1">
      <alignment horizontal="left" vertical="center" wrapText="1"/>
    </xf>
    <xf numFmtId="0" fontId="42" fillId="0" borderId="0" xfId="0" applyFont="1" applyFill="1" applyBorder="1" applyAlignment="1" applyProtection="1">
      <alignment horizontal="left" vertical="top" wrapText="1"/>
    </xf>
    <xf numFmtId="0" fontId="9" fillId="0" borderId="0" xfId="0" applyFont="1" applyFill="1" applyBorder="1" applyAlignment="1" applyProtection="1">
      <alignment vertical="center" wrapText="1"/>
    </xf>
    <xf numFmtId="49" fontId="51" fillId="6" borderId="21" xfId="0" applyNumberFormat="1" applyFont="1" applyFill="1" applyBorder="1" applyAlignment="1" applyProtection="1">
      <alignment horizontal="right" vertical="center" wrapText="1"/>
    </xf>
    <xf numFmtId="0" fontId="0" fillId="0" borderId="0" xfId="0" applyFill="1" applyBorder="1" applyAlignment="1" applyProtection="1">
      <alignment wrapText="1"/>
    </xf>
    <xf numFmtId="0" fontId="51" fillId="6" borderId="21" xfId="0" applyFont="1" applyFill="1" applyBorder="1" applyAlignment="1" applyProtection="1">
      <alignment horizontal="center" vertical="center"/>
    </xf>
    <xf numFmtId="0" fontId="9" fillId="4" borderId="0" xfId="0" applyFont="1" applyFill="1" applyBorder="1" applyAlignment="1" applyProtection="1">
      <alignment vertical="top" wrapText="1"/>
    </xf>
    <xf numFmtId="0" fontId="0" fillId="4" borderId="0" xfId="0" applyFill="1" applyBorder="1" applyAlignment="1" applyProtection="1"/>
    <xf numFmtId="0" fontId="9" fillId="0" borderId="0" xfId="0" applyFont="1" applyFill="1" applyAlignment="1" applyProtection="1">
      <alignment vertical="top" wrapText="1"/>
    </xf>
    <xf numFmtId="0" fontId="0" fillId="0" borderId="0" xfId="0" applyFill="1" applyBorder="1" applyAlignment="1" applyProtection="1">
      <alignment horizontal="center" vertical="center" wrapText="1"/>
    </xf>
    <xf numFmtId="0" fontId="1" fillId="0" borderId="0" xfId="0" applyFont="1" applyBorder="1" applyProtection="1"/>
    <xf numFmtId="0" fontId="5" fillId="3" borderId="0" xfId="0" applyFont="1" applyFill="1" applyBorder="1" applyProtection="1"/>
    <xf numFmtId="0" fontId="4" fillId="3" borderId="0" xfId="0" applyFont="1" applyFill="1" applyBorder="1" applyAlignment="1" applyProtection="1">
      <alignment horizontal="center"/>
    </xf>
    <xf numFmtId="0" fontId="1" fillId="3" borderId="0" xfId="0" applyFont="1" applyFill="1" applyProtection="1"/>
    <xf numFmtId="0" fontId="9" fillId="3" borderId="0" xfId="0" applyFont="1" applyFill="1" applyBorder="1" applyAlignment="1" applyProtection="1">
      <alignment horizontal="center" vertical="center"/>
    </xf>
    <xf numFmtId="0" fontId="35" fillId="3" borderId="0" xfId="0" applyFont="1" applyFill="1" applyBorder="1" applyAlignment="1" applyProtection="1">
      <alignment horizontal="left" vertical="center" wrapText="1"/>
    </xf>
    <xf numFmtId="0" fontId="9" fillId="3" borderId="0" xfId="0" applyFont="1" applyFill="1" applyBorder="1" applyAlignment="1" applyProtection="1">
      <alignment horizontal="center" vertical="center" wrapText="1"/>
    </xf>
    <xf numFmtId="0" fontId="3" fillId="3" borderId="0" xfId="0" applyFont="1" applyFill="1" applyProtection="1"/>
    <xf numFmtId="0" fontId="4" fillId="0" borderId="2" xfId="0" applyFont="1" applyFill="1" applyBorder="1" applyProtection="1"/>
    <xf numFmtId="0" fontId="4" fillId="0" borderId="0" xfId="0" applyFont="1" applyFill="1" applyBorder="1" applyAlignment="1" applyProtection="1">
      <alignment horizontal="center"/>
    </xf>
    <xf numFmtId="0" fontId="5" fillId="0" borderId="0" xfId="0" applyFont="1" applyFill="1" applyBorder="1" applyProtection="1"/>
    <xf numFmtId="0" fontId="4" fillId="11" borderId="33" xfId="0" applyFont="1" applyFill="1" applyBorder="1" applyProtection="1"/>
    <xf numFmtId="0" fontId="42" fillId="6" borderId="20" xfId="0" applyFont="1" applyFill="1" applyBorder="1" applyAlignment="1" applyProtection="1">
      <alignment horizontal="center"/>
    </xf>
    <xf numFmtId="0" fontId="51" fillId="6" borderId="20" xfId="0" applyFont="1" applyFill="1" applyBorder="1" applyAlignment="1" applyProtection="1">
      <alignment horizontal="right" vertical="center" wrapText="1"/>
    </xf>
    <xf numFmtId="0" fontId="9" fillId="6" borderId="0" xfId="0" applyFont="1" applyFill="1" applyAlignment="1" applyProtection="1">
      <alignment horizontal="center"/>
    </xf>
    <xf numFmtId="0" fontId="54" fillId="6" borderId="0" xfId="0" applyFont="1" applyFill="1" applyProtection="1"/>
    <xf numFmtId="0" fontId="42" fillId="6" borderId="0" xfId="0" applyFont="1" applyFill="1" applyAlignment="1" applyProtection="1">
      <alignment horizontal="center"/>
    </xf>
    <xf numFmtId="0" fontId="55" fillId="6" borderId="0" xfId="0" applyFont="1" applyFill="1" applyProtection="1"/>
    <xf numFmtId="0" fontId="0" fillId="0" borderId="0" xfId="0" applyAlignment="1" applyProtection="1"/>
    <xf numFmtId="0" fontId="68" fillId="10" borderId="51" xfId="5" applyFont="1" applyFill="1" applyBorder="1" applyAlignment="1" applyProtection="1">
      <alignment horizontal="right" wrapText="1"/>
    </xf>
    <xf numFmtId="0" fontId="2" fillId="0" borderId="2" xfId="0" applyFont="1" applyFill="1" applyBorder="1" applyAlignment="1" applyProtection="1">
      <alignment wrapText="1"/>
      <protection locked="0"/>
    </xf>
    <xf numFmtId="0" fontId="2" fillId="0" borderId="2" xfId="0" applyFont="1" applyFill="1" applyBorder="1" applyProtection="1">
      <protection locked="0"/>
    </xf>
    <xf numFmtId="0" fontId="9" fillId="0" borderId="2" xfId="0" applyFont="1" applyFill="1" applyBorder="1" applyAlignment="1" applyProtection="1">
      <alignment horizontal="center" vertical="center"/>
      <protection locked="0"/>
    </xf>
    <xf numFmtId="0" fontId="35" fillId="0" borderId="2"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3" fillId="0" borderId="2" xfId="0" applyFont="1" applyFill="1" applyBorder="1" applyProtection="1">
      <protection locked="0"/>
    </xf>
    <xf numFmtId="0" fontId="0" fillId="0" borderId="2" xfId="0" applyFill="1" applyBorder="1" applyProtection="1">
      <protection locked="0"/>
    </xf>
    <xf numFmtId="0" fontId="30" fillId="2" borderId="0" xfId="0" applyFont="1" applyFill="1" applyProtection="1"/>
    <xf numFmtId="0" fontId="9" fillId="2" borderId="0" xfId="0" applyFont="1" applyFill="1" applyAlignment="1" applyProtection="1">
      <alignment horizontal="center" vertical="center"/>
    </xf>
    <xf numFmtId="0" fontId="35" fillId="2" borderId="0" xfId="0" applyFont="1" applyFill="1" applyAlignment="1" applyProtection="1">
      <alignment horizontal="left" vertical="center" wrapText="1"/>
    </xf>
    <xf numFmtId="0" fontId="9" fillId="2" borderId="0" xfId="0" applyFont="1" applyFill="1" applyAlignment="1" applyProtection="1">
      <alignment horizontal="center" vertical="center" wrapText="1"/>
    </xf>
    <xf numFmtId="0" fontId="1" fillId="2" borderId="0" xfId="0" applyFont="1" applyFill="1" applyProtection="1"/>
    <xf numFmtId="0" fontId="1" fillId="4" borderId="0" xfId="0" applyFont="1" applyFill="1" applyProtection="1"/>
    <xf numFmtId="0" fontId="2" fillId="0" borderId="0" xfId="0" applyFont="1" applyProtection="1"/>
    <xf numFmtId="0" fontId="33" fillId="0" borderId="0" xfId="0" applyFont="1" applyAlignment="1" applyProtection="1">
      <alignment horizontal="center" vertical="center"/>
    </xf>
    <xf numFmtId="0" fontId="36" fillId="0" borderId="0" xfId="0" applyFont="1" applyAlignment="1" applyProtection="1">
      <alignment horizontal="left" vertical="center" wrapText="1"/>
    </xf>
    <xf numFmtId="0" fontId="33" fillId="0" borderId="0" xfId="0" applyFont="1" applyAlignment="1" applyProtection="1">
      <alignment horizontal="center" vertical="center" wrapText="1"/>
    </xf>
    <xf numFmtId="0" fontId="9" fillId="0" borderId="0" xfId="0" applyFont="1" applyBorder="1" applyAlignment="1" applyProtection="1">
      <alignment horizontal="center" vertical="center"/>
    </xf>
    <xf numFmtId="0" fontId="14" fillId="0" borderId="2" xfId="0" applyFont="1" applyBorder="1" applyProtection="1"/>
    <xf numFmtId="0" fontId="9" fillId="0" borderId="2" xfId="0" applyFont="1" applyBorder="1" applyAlignment="1" applyProtection="1">
      <alignment horizontal="center" vertical="center"/>
    </xf>
    <xf numFmtId="0" fontId="35" fillId="0" borderId="2" xfId="0" applyFont="1" applyBorder="1" applyAlignment="1" applyProtection="1">
      <alignment horizontal="left" vertical="center" wrapText="1"/>
    </xf>
    <xf numFmtId="0" fontId="9" fillId="0" borderId="2" xfId="0" applyFont="1" applyBorder="1" applyAlignment="1" applyProtection="1">
      <alignment horizontal="center" vertical="center" wrapText="1"/>
    </xf>
    <xf numFmtId="0" fontId="35" fillId="0" borderId="0" xfId="0" applyFont="1" applyBorder="1" applyAlignment="1" applyProtection="1">
      <alignment horizontal="left" vertical="center" wrapText="1"/>
    </xf>
    <xf numFmtId="0" fontId="3" fillId="0" borderId="2" xfId="0" applyFont="1" applyBorder="1" applyProtection="1"/>
    <xf numFmtId="0" fontId="35" fillId="6" borderId="0" xfId="0" applyNumberFormat="1" applyFont="1" applyFill="1" applyAlignment="1" applyProtection="1">
      <alignment horizontal="left" vertical="center"/>
    </xf>
    <xf numFmtId="0" fontId="56" fillId="6" borderId="0" xfId="0" applyFont="1" applyFill="1" applyProtection="1"/>
    <xf numFmtId="0" fontId="57" fillId="6" borderId="0" xfId="0" applyFont="1" applyFill="1" applyProtection="1"/>
    <xf numFmtId="0" fontId="48" fillId="6" borderId="0" xfId="0" applyFont="1" applyFill="1" applyBorder="1" applyProtection="1"/>
    <xf numFmtId="0" fontId="49" fillId="6" borderId="0" xfId="0" applyFont="1" applyFill="1" applyBorder="1" applyAlignment="1" applyProtection="1"/>
    <xf numFmtId="0" fontId="48" fillId="6" borderId="0" xfId="0" applyFont="1" applyFill="1" applyBorder="1" applyAlignment="1" applyProtection="1"/>
    <xf numFmtId="0" fontId="48" fillId="6" borderId="0" xfId="0" applyFont="1" applyFill="1" applyBorder="1" applyAlignment="1" applyProtection="1">
      <alignment horizontal="left"/>
    </xf>
    <xf numFmtId="0" fontId="49" fillId="6" borderId="0" xfId="0" applyFont="1" applyFill="1" applyBorder="1" applyProtection="1"/>
    <xf numFmtId="0" fontId="15" fillId="6" borderId="0" xfId="0" applyFont="1" applyFill="1" applyBorder="1" applyProtection="1"/>
    <xf numFmtId="0" fontId="15" fillId="4" borderId="0" xfId="0" applyFont="1" applyFill="1" applyProtection="1"/>
    <xf numFmtId="0" fontId="15" fillId="0" borderId="0" xfId="0" applyFont="1" applyProtection="1"/>
    <xf numFmtId="0" fontId="4" fillId="0" borderId="0" xfId="0" applyFont="1" applyProtection="1"/>
    <xf numFmtId="0" fontId="35" fillId="3" borderId="0" xfId="0" applyFont="1" applyFill="1" applyAlignment="1" applyProtection="1">
      <alignment horizontal="left" vertical="center" wrapText="1"/>
    </xf>
    <xf numFmtId="0" fontId="9" fillId="3" borderId="0" xfId="0" applyFont="1" applyFill="1" applyAlignment="1" applyProtection="1">
      <alignment horizontal="center" vertical="center"/>
    </xf>
    <xf numFmtId="0" fontId="56" fillId="6" borderId="0" xfId="0" applyFont="1" applyFill="1" applyAlignment="1" applyProtection="1">
      <alignment vertical="top"/>
    </xf>
    <xf numFmtId="0" fontId="35" fillId="0" borderId="0" xfId="0" applyFont="1" applyAlignment="1" applyProtection="1">
      <alignment horizontal="left" wrapText="1"/>
    </xf>
    <xf numFmtId="0" fontId="9" fillId="0" borderId="0" xfId="0" applyFont="1" applyAlignment="1" applyProtection="1">
      <alignment horizontal="center"/>
    </xf>
    <xf numFmtId="0" fontId="3" fillId="0" borderId="0" xfId="0" applyFont="1" applyAlignment="1" applyProtection="1"/>
    <xf numFmtId="0" fontId="58" fillId="6" borderId="0" xfId="0" applyFont="1" applyFill="1" applyProtection="1"/>
    <xf numFmtId="0" fontId="10" fillId="4" borderId="0" xfId="0" applyFont="1" applyFill="1" applyAlignment="1" applyProtection="1">
      <alignment horizontal="center" vertical="center"/>
    </xf>
    <xf numFmtId="0" fontId="9" fillId="6" borderId="0" xfId="0" applyFont="1" applyFill="1" applyAlignment="1" applyProtection="1">
      <alignment vertical="center" wrapText="1"/>
    </xf>
    <xf numFmtId="0" fontId="9" fillId="0" borderId="19" xfId="0" applyFont="1" applyFill="1" applyBorder="1" applyAlignment="1" applyProtection="1">
      <alignment horizontal="left" vertical="center" wrapText="1"/>
    </xf>
    <xf numFmtId="0" fontId="10" fillId="0" borderId="0" xfId="0" applyFont="1" applyFill="1" applyAlignment="1" applyProtection="1">
      <alignment horizontal="center" vertical="center"/>
    </xf>
    <xf numFmtId="0" fontId="9" fillId="6" borderId="0" xfId="0" applyFont="1" applyFill="1" applyBorder="1" applyAlignment="1" applyProtection="1">
      <alignment vertical="center"/>
    </xf>
    <xf numFmtId="0" fontId="9" fillId="0" borderId="21" xfId="0" applyFont="1" applyFill="1" applyBorder="1" applyAlignment="1" applyProtection="1">
      <alignment horizontal="center" vertical="center"/>
    </xf>
    <xf numFmtId="0" fontId="10" fillId="6" borderId="0" xfId="0" applyFont="1" applyFill="1" applyAlignment="1" applyProtection="1">
      <alignment horizontal="left" vertical="center"/>
    </xf>
    <xf numFmtId="0" fontId="61" fillId="6" borderId="0" xfId="0" applyFont="1" applyFill="1" applyAlignment="1" applyProtection="1">
      <alignment horizontal="center" vertical="center"/>
    </xf>
    <xf numFmtId="0" fontId="6" fillId="6" borderId="0" xfId="0" applyFont="1" applyFill="1" applyAlignment="1" applyProtection="1">
      <alignment vertical="center" wrapText="1"/>
    </xf>
    <xf numFmtId="0" fontId="6" fillId="0" borderId="21" xfId="0" applyFont="1" applyFill="1" applyBorder="1" applyAlignment="1" applyProtection="1">
      <alignment horizontal="center" vertical="center"/>
    </xf>
    <xf numFmtId="0" fontId="6" fillId="0" borderId="19" xfId="0" applyFont="1" applyFill="1" applyBorder="1" applyAlignment="1" applyProtection="1">
      <alignment horizontal="left" vertical="center" wrapText="1"/>
    </xf>
    <xf numFmtId="0" fontId="60" fillId="0" borderId="0" xfId="0" applyFont="1" applyFill="1" applyAlignment="1" applyProtection="1">
      <alignment horizontal="center" vertical="center"/>
    </xf>
    <xf numFmtId="0" fontId="60" fillId="6" borderId="0" xfId="0" applyFont="1" applyFill="1" applyAlignment="1" applyProtection="1">
      <alignment horizontal="center" vertical="center"/>
    </xf>
    <xf numFmtId="0" fontId="6" fillId="6" borderId="21" xfId="0" applyFont="1" applyFill="1" applyBorder="1" applyAlignment="1" applyProtection="1">
      <alignment horizontal="center" vertical="center"/>
    </xf>
    <xf numFmtId="0" fontId="6" fillId="6" borderId="19" xfId="0" applyFont="1" applyFill="1" applyBorder="1" applyAlignment="1" applyProtection="1">
      <alignment horizontal="left" vertical="center" wrapText="1"/>
    </xf>
    <xf numFmtId="0" fontId="37" fillId="6" borderId="19" xfId="0" applyFont="1" applyFill="1" applyBorder="1" applyAlignment="1" applyProtection="1">
      <alignment horizontal="left" vertical="center" wrapText="1"/>
    </xf>
    <xf numFmtId="0" fontId="60" fillId="4" borderId="0" xfId="0" applyFont="1" applyFill="1" applyAlignment="1" applyProtection="1">
      <alignment horizontal="center" vertical="center"/>
    </xf>
    <xf numFmtId="0" fontId="1" fillId="0" borderId="0" xfId="0" applyFont="1" applyFill="1" applyProtection="1"/>
    <xf numFmtId="0" fontId="9" fillId="0" borderId="21" xfId="0" applyFont="1" applyFill="1" applyBorder="1" applyAlignment="1" applyProtection="1">
      <alignment horizontal="left" vertical="center" indent="1"/>
    </xf>
    <xf numFmtId="0" fontId="9" fillId="6" borderId="21" xfId="0" applyFont="1" applyFill="1" applyBorder="1" applyAlignment="1" applyProtection="1">
      <alignment horizontal="left" vertical="center" indent="1"/>
    </xf>
    <xf numFmtId="0" fontId="9" fillId="6" borderId="21" xfId="0" applyFont="1" applyFill="1" applyBorder="1" applyAlignment="1" applyProtection="1">
      <alignment horizontal="left" vertical="center" wrapText="1" indent="1"/>
    </xf>
    <xf numFmtId="0" fontId="31" fillId="6" borderId="0" xfId="0" applyFont="1" applyFill="1" applyAlignment="1" applyProtection="1">
      <alignment horizontal="center"/>
    </xf>
    <xf numFmtId="0" fontId="22" fillId="0" borderId="0" xfId="0" applyFont="1" applyFill="1" applyProtection="1"/>
    <xf numFmtId="0" fontId="22" fillId="6" borderId="0" xfId="0" applyFont="1" applyFill="1" applyProtection="1"/>
    <xf numFmtId="0" fontId="22" fillId="4" borderId="0" xfId="0" applyFont="1" applyFill="1" applyProtection="1"/>
    <xf numFmtId="0" fontId="22" fillId="6" borderId="0" xfId="0" applyFont="1" applyFill="1" applyAlignment="1" applyProtection="1">
      <alignment horizontal="center"/>
    </xf>
    <xf numFmtId="0" fontId="4" fillId="0" borderId="0" xfId="0" applyFont="1" applyBorder="1" applyAlignment="1" applyProtection="1">
      <alignment wrapText="1"/>
    </xf>
    <xf numFmtId="0" fontId="4" fillId="0" borderId="0" xfId="0" applyFont="1" applyBorder="1" applyProtection="1"/>
    <xf numFmtId="0" fontId="13" fillId="6" borderId="21" xfId="0" applyFont="1" applyFill="1" applyBorder="1" applyAlignment="1" applyProtection="1">
      <alignment horizontal="left" vertical="center"/>
    </xf>
    <xf numFmtId="0" fontId="42" fillId="6" borderId="0" xfId="0" applyFont="1" applyFill="1" applyAlignment="1" applyProtection="1">
      <alignment vertical="top" wrapText="1"/>
    </xf>
    <xf numFmtId="0" fontId="6" fillId="6" borderId="19" xfId="0" applyFont="1" applyFill="1" applyBorder="1" applyAlignment="1" applyProtection="1">
      <alignment horizontal="center" vertical="center"/>
    </xf>
    <xf numFmtId="0" fontId="0" fillId="4" borderId="0" xfId="0" applyFill="1" applyProtection="1"/>
    <xf numFmtId="0" fontId="41" fillId="0" borderId="0" xfId="0" applyFont="1" applyFill="1" applyAlignment="1" applyProtection="1">
      <alignment horizontal="right" vertical="top" wrapText="1"/>
    </xf>
    <xf numFmtId="0" fontId="22" fillId="3" borderId="0" xfId="0" applyFont="1" applyFill="1" applyBorder="1" applyProtection="1"/>
    <xf numFmtId="0" fontId="35" fillId="3" borderId="0" xfId="0" applyFont="1" applyFill="1" applyBorder="1" applyAlignment="1" applyProtection="1">
      <alignment horizontal="left" vertical="center" wrapText="1" indent="2"/>
    </xf>
    <xf numFmtId="0" fontId="22" fillId="0" borderId="2" xfId="0" applyFont="1" applyBorder="1" applyProtection="1"/>
    <xf numFmtId="0" fontId="5" fillId="0" borderId="2" xfId="0" applyFont="1" applyBorder="1" applyProtection="1"/>
    <xf numFmtId="0" fontId="35" fillId="0" borderId="2" xfId="0" applyFont="1" applyBorder="1" applyAlignment="1" applyProtection="1">
      <alignment horizontal="left" vertical="center" wrapText="1" indent="2"/>
    </xf>
    <xf numFmtId="0" fontId="4" fillId="6" borderId="38" xfId="0" applyFont="1" applyFill="1" applyBorder="1" applyProtection="1"/>
    <xf numFmtId="0" fontId="1" fillId="6" borderId="52" xfId="0" applyFont="1" applyFill="1" applyBorder="1" applyAlignment="1" applyProtection="1">
      <alignment horizontal="center"/>
    </xf>
    <xf numFmtId="0" fontId="10" fillId="6" borderId="0" xfId="0" applyFont="1" applyFill="1" applyBorder="1" applyAlignment="1" applyProtection="1">
      <alignment horizontal="right"/>
    </xf>
    <xf numFmtId="0" fontId="6" fillId="6" borderId="20" xfId="0" applyFont="1" applyFill="1" applyBorder="1" applyAlignment="1" applyProtection="1">
      <alignment horizontal="center" vertical="center"/>
    </xf>
    <xf numFmtId="0" fontId="42" fillId="6" borderId="0" xfId="0" applyFont="1" applyFill="1" applyBorder="1" applyAlignment="1" applyProtection="1">
      <alignment horizontal="center"/>
    </xf>
    <xf numFmtId="0" fontId="51" fillId="6" borderId="0" xfId="0" applyFont="1" applyFill="1" applyBorder="1" applyAlignment="1" applyProtection="1">
      <alignment horizontal="right" vertical="center" wrapText="1"/>
    </xf>
    <xf numFmtId="0" fontId="3" fillId="0" borderId="0" xfId="0" applyFont="1" applyBorder="1" applyProtection="1"/>
    <xf numFmtId="0" fontId="51" fillId="6" borderId="0" xfId="0" applyFont="1" applyFill="1" applyBorder="1" applyAlignment="1" applyProtection="1">
      <alignment horizontal="right" vertical="center"/>
    </xf>
    <xf numFmtId="0" fontId="9" fillId="6" borderId="0" xfId="0" applyFont="1" applyFill="1" applyAlignment="1" applyProtection="1">
      <alignment horizontal="right"/>
    </xf>
    <xf numFmtId="0" fontId="9" fillId="0" borderId="0" xfId="0" applyFont="1" applyBorder="1" applyAlignment="1" applyProtection="1">
      <alignment horizontal="center" vertical="center" wrapText="1"/>
    </xf>
    <xf numFmtId="0" fontId="1" fillId="6" borderId="0" xfId="0" applyFont="1" applyFill="1" applyBorder="1" applyAlignment="1" applyProtection="1">
      <alignment horizontal="center"/>
    </xf>
    <xf numFmtId="0" fontId="2" fillId="0" borderId="2" xfId="0" applyFont="1" applyBorder="1" applyAlignment="1" applyProtection="1">
      <alignment wrapText="1"/>
      <protection locked="0"/>
    </xf>
    <xf numFmtId="0" fontId="2" fillId="0" borderId="2" xfId="0" applyFont="1" applyBorder="1" applyProtection="1">
      <protection locked="0"/>
    </xf>
    <xf numFmtId="0" fontId="9" fillId="0" borderId="2" xfId="0" applyFont="1" applyBorder="1" applyAlignment="1" applyProtection="1">
      <alignment horizontal="center" vertical="center"/>
      <protection locked="0"/>
    </xf>
    <xf numFmtId="0" fontId="35" fillId="0" borderId="2" xfId="0" applyFont="1" applyBorder="1" applyAlignment="1" applyProtection="1">
      <alignment horizontal="left" vertical="center" wrapText="1"/>
      <protection locked="0"/>
    </xf>
    <xf numFmtId="0" fontId="9" fillId="0" borderId="2"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3" fillId="0" borderId="2" xfId="0" applyFont="1" applyBorder="1" applyProtection="1">
      <protection locked="0"/>
    </xf>
    <xf numFmtId="0" fontId="0" fillId="0" borderId="2" xfId="0" applyBorder="1" applyProtection="1">
      <protection locked="0"/>
    </xf>
    <xf numFmtId="0" fontId="23" fillId="6" borderId="0" xfId="0" applyFont="1" applyFill="1" applyAlignment="1" applyProtection="1">
      <alignment horizontal="center"/>
    </xf>
    <xf numFmtId="0" fontId="23" fillId="0" borderId="0" xfId="0" applyFont="1" applyProtection="1"/>
    <xf numFmtId="0" fontId="0" fillId="6" borderId="0" xfId="0" applyFill="1" applyBorder="1" applyProtection="1"/>
    <xf numFmtId="0" fontId="15" fillId="6" borderId="0" xfId="0" applyFont="1" applyFill="1" applyProtection="1"/>
    <xf numFmtId="0" fontId="14" fillId="6" borderId="0" xfId="0" applyFont="1" applyFill="1" applyBorder="1" applyAlignment="1" applyProtection="1"/>
    <xf numFmtId="0" fontId="15" fillId="6" borderId="0" xfId="0" applyFont="1" applyFill="1" applyBorder="1" applyAlignment="1" applyProtection="1">
      <alignment horizontal="left"/>
    </xf>
    <xf numFmtId="0" fontId="14" fillId="6" borderId="0" xfId="0" applyFont="1" applyFill="1" applyBorder="1" applyProtection="1"/>
    <xf numFmtId="0" fontId="23" fillId="3" borderId="0" xfId="0" applyFont="1" applyFill="1" applyProtection="1"/>
    <xf numFmtId="0" fontId="38" fillId="6" borderId="0" xfId="0" applyFont="1" applyFill="1" applyAlignment="1" applyProtection="1">
      <alignment horizontal="center"/>
    </xf>
    <xf numFmtId="0" fontId="38" fillId="0" borderId="0" xfId="0" applyFont="1" applyProtection="1"/>
    <xf numFmtId="0" fontId="0" fillId="6" borderId="0" xfId="0" applyFill="1" applyAlignment="1" applyProtection="1"/>
    <xf numFmtId="0" fontId="31" fillId="6" borderId="0" xfId="0" applyFont="1" applyFill="1" applyAlignment="1" applyProtection="1">
      <alignment horizontal="center" vertical="center"/>
    </xf>
    <xf numFmtId="0" fontId="22" fillId="0" borderId="0" xfId="0" applyFont="1" applyFill="1" applyAlignment="1" applyProtection="1">
      <alignment vertical="center"/>
    </xf>
    <xf numFmtId="0" fontId="22" fillId="6" borderId="0" xfId="0" applyFont="1" applyFill="1" applyAlignment="1" applyProtection="1">
      <alignment vertical="center"/>
    </xf>
    <xf numFmtId="0" fontId="22" fillId="6" borderId="0" xfId="0" applyFont="1" applyFill="1" applyAlignment="1" applyProtection="1">
      <alignment horizontal="center" vertical="center"/>
    </xf>
    <xf numFmtId="0" fontId="6" fillId="0" borderId="19" xfId="0" applyFont="1" applyFill="1" applyBorder="1" applyAlignment="1" applyProtection="1">
      <alignment horizontal="center" vertical="center"/>
    </xf>
    <xf numFmtId="0" fontId="9" fillId="0" borderId="21" xfId="0" applyFont="1" applyFill="1" applyBorder="1" applyAlignment="1" applyProtection="1">
      <alignment horizontal="left" vertical="center" wrapText="1" indent="2"/>
    </xf>
    <xf numFmtId="0" fontId="10" fillId="0" borderId="0" xfId="0" applyFont="1" applyAlignment="1" applyProtection="1">
      <alignment vertical="center"/>
    </xf>
    <xf numFmtId="0" fontId="10" fillId="6" borderId="0" xfId="0" applyFont="1" applyFill="1" applyAlignment="1" applyProtection="1">
      <alignment vertical="center"/>
    </xf>
    <xf numFmtId="0" fontId="9" fillId="6" borderId="21" xfId="0" applyFont="1" applyFill="1" applyBorder="1" applyAlignment="1" applyProtection="1">
      <alignment horizontal="left" vertical="center" wrapText="1" indent="2"/>
    </xf>
    <xf numFmtId="0" fontId="9" fillId="6" borderId="21" xfId="0" applyFont="1" applyFill="1" applyBorder="1" applyAlignment="1" applyProtection="1">
      <alignment horizontal="left" vertical="center" indent="2"/>
    </xf>
    <xf numFmtId="0" fontId="9" fillId="0" borderId="21" xfId="0" applyFont="1" applyFill="1" applyBorder="1" applyAlignment="1" applyProtection="1">
      <alignment horizontal="left" vertical="center" indent="2"/>
    </xf>
    <xf numFmtId="0" fontId="9" fillId="0" borderId="49" xfId="0" applyFont="1" applyFill="1" applyBorder="1" applyAlignment="1" applyProtection="1">
      <alignment horizontal="left" vertical="center" indent="2"/>
    </xf>
    <xf numFmtId="0" fontId="13" fillId="6" borderId="49" xfId="0" applyFont="1" applyFill="1" applyBorder="1" applyAlignment="1" applyProtection="1">
      <alignment horizontal="left" vertical="center"/>
    </xf>
    <xf numFmtId="0" fontId="22" fillId="0" borderId="0" xfId="0" applyFont="1" applyProtection="1"/>
    <xf numFmtId="0" fontId="9" fillId="6" borderId="20" xfId="0" applyFont="1" applyFill="1" applyBorder="1" applyAlignment="1" applyProtection="1">
      <alignment horizontal="left" vertical="center" wrapText="1"/>
    </xf>
    <xf numFmtId="0" fontId="5" fillId="0" borderId="0" xfId="0" applyFont="1" applyProtection="1"/>
    <xf numFmtId="0" fontId="4" fillId="0" borderId="0" xfId="0" applyFont="1" applyAlignment="1" applyProtection="1">
      <alignment wrapText="1"/>
    </xf>
    <xf numFmtId="0" fontId="9" fillId="6" borderId="0" xfId="0" applyFont="1" applyFill="1" applyAlignment="1" applyProtection="1">
      <alignment horizontal="left" vertical="top" wrapText="1"/>
    </xf>
    <xf numFmtId="0" fontId="6" fillId="6" borderId="21" xfId="0" applyFont="1" applyFill="1" applyBorder="1" applyAlignment="1" applyProtection="1">
      <alignment horizontal="right" vertical="center" wrapText="1"/>
    </xf>
    <xf numFmtId="0" fontId="9" fillId="4" borderId="0" xfId="0" applyFont="1" applyFill="1" applyBorder="1" applyAlignment="1" applyProtection="1">
      <alignment horizontal="center" vertical="top" wrapText="1"/>
    </xf>
    <xf numFmtId="0" fontId="42" fillId="6" borderId="0" xfId="0" applyFont="1" applyFill="1" applyAlignment="1" applyProtection="1">
      <alignment horizontal="left" vertical="top" wrapText="1"/>
    </xf>
    <xf numFmtId="0" fontId="9" fillId="6" borderId="21" xfId="0" applyFont="1" applyFill="1" applyBorder="1" applyAlignment="1" applyProtection="1">
      <alignment horizontal="right" vertical="center" wrapText="1"/>
    </xf>
    <xf numFmtId="0" fontId="42" fillId="0" borderId="0" xfId="0" applyFont="1" applyFill="1" applyAlignment="1" applyProtection="1">
      <alignment horizontal="center" wrapText="1"/>
    </xf>
    <xf numFmtId="0" fontId="9" fillId="6" borderId="0" xfId="0" applyFont="1" applyFill="1" applyBorder="1" applyAlignment="1" applyProtection="1">
      <alignment horizontal="left" vertical="center" wrapText="1"/>
    </xf>
    <xf numFmtId="0" fontId="40" fillId="0" borderId="0" xfId="0" applyFont="1" applyFill="1" applyAlignment="1" applyProtection="1">
      <alignment horizontal="left" vertical="top" wrapText="1"/>
    </xf>
    <xf numFmtId="0" fontId="40" fillId="6" borderId="0" xfId="0" applyFont="1" applyFill="1" applyAlignment="1" applyProtection="1">
      <alignment horizontal="left" vertical="top" wrapText="1"/>
    </xf>
    <xf numFmtId="0" fontId="23" fillId="6" borderId="0" xfId="0" applyFont="1" applyFill="1" applyProtection="1"/>
    <xf numFmtId="0" fontId="3" fillId="6" borderId="0" xfId="0" applyFont="1" applyFill="1" applyBorder="1" applyAlignment="1" applyProtection="1">
      <alignment wrapText="1"/>
    </xf>
    <xf numFmtId="0" fontId="4" fillId="6" borderId="22" xfId="0" applyFont="1" applyFill="1" applyBorder="1" applyProtection="1"/>
    <xf numFmtId="0" fontId="3" fillId="6" borderId="0" xfId="0" applyFont="1" applyFill="1" applyBorder="1" applyAlignment="1" applyProtection="1">
      <alignment horizontal="left" wrapText="1"/>
    </xf>
    <xf numFmtId="0" fontId="0" fillId="6" borderId="0" xfId="0" applyFill="1" applyBorder="1" applyAlignment="1" applyProtection="1">
      <alignment horizontal="center"/>
    </xf>
    <xf numFmtId="0" fontId="35" fillId="0" borderId="0" xfId="0" applyFont="1" applyAlignment="1" applyProtection="1">
      <alignment horizontal="left" vertical="center" wrapText="1" indent="2"/>
    </xf>
    <xf numFmtId="0" fontId="23" fillId="2" borderId="0" xfId="0" applyFont="1" applyFill="1" applyProtection="1"/>
    <xf numFmtId="0" fontId="15" fillId="6" borderId="0" xfId="0" applyFont="1" applyFill="1" applyBorder="1" applyAlignment="1" applyProtection="1"/>
    <xf numFmtId="0" fontId="5" fillId="0" borderId="0" xfId="3" applyFont="1" applyBorder="1" applyProtection="1"/>
    <xf numFmtId="0" fontId="33" fillId="0" borderId="0" xfId="0" applyFont="1" applyBorder="1" applyAlignment="1" applyProtection="1">
      <alignment horizontal="center" vertical="center"/>
    </xf>
    <xf numFmtId="0" fontId="6" fillId="6" borderId="21" xfId="0" applyFont="1" applyFill="1" applyBorder="1" applyAlignment="1" applyProtection="1">
      <alignment horizontal="justify" vertical="center" wrapText="1"/>
    </xf>
    <xf numFmtId="0" fontId="9" fillId="6" borderId="53" xfId="0" applyFont="1" applyFill="1" applyBorder="1" applyAlignment="1" applyProtection="1">
      <alignment horizontal="center" vertical="center"/>
    </xf>
    <xf numFmtId="0" fontId="9" fillId="6" borderId="54" xfId="0" applyFont="1" applyFill="1" applyBorder="1" applyAlignment="1" applyProtection="1">
      <alignment horizontal="right" vertical="center" wrapText="1"/>
    </xf>
    <xf numFmtId="0" fontId="13" fillId="0" borderId="21" xfId="0" applyFont="1" applyFill="1" applyBorder="1" applyAlignment="1" applyProtection="1">
      <alignment horizontal="left" vertical="center" wrapText="1"/>
    </xf>
    <xf numFmtId="0" fontId="9" fillId="0" borderId="49" xfId="0" applyFont="1" applyFill="1" applyBorder="1" applyAlignment="1" applyProtection="1">
      <alignment horizontal="center" vertical="center"/>
    </xf>
    <xf numFmtId="0" fontId="9" fillId="6" borderId="21" xfId="0" applyFont="1" applyFill="1" applyBorder="1" applyAlignment="1" applyProtection="1">
      <alignment horizontal="justify" vertical="center" wrapText="1"/>
    </xf>
    <xf numFmtId="0" fontId="9" fillId="6" borderId="0" xfId="0" applyFont="1" applyFill="1" applyBorder="1" applyAlignment="1" applyProtection="1">
      <alignment horizontal="right" vertical="center" wrapText="1"/>
    </xf>
    <xf numFmtId="0" fontId="9" fillId="6" borderId="20" xfId="0" applyFont="1" applyFill="1" applyBorder="1" applyAlignment="1" applyProtection="1">
      <alignment horizontal="justify" vertical="center" wrapText="1"/>
    </xf>
    <xf numFmtId="0" fontId="9" fillId="6" borderId="55"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9" fillId="6" borderId="28" xfId="0" applyFont="1" applyFill="1" applyBorder="1" applyAlignment="1" applyProtection="1">
      <alignment horizontal="left" vertical="center" wrapText="1" indent="2"/>
    </xf>
    <xf numFmtId="0" fontId="0" fillId="6" borderId="54" xfId="0" applyFill="1" applyBorder="1" applyProtection="1"/>
    <xf numFmtId="0" fontId="6"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wrapText="1" indent="2"/>
    </xf>
    <xf numFmtId="0" fontId="9" fillId="2" borderId="22" xfId="0" applyFont="1" applyFill="1" applyBorder="1" applyAlignment="1" applyProtection="1">
      <alignment horizontal="center" vertical="center" wrapText="1"/>
    </xf>
    <xf numFmtId="0" fontId="0" fillId="0" borderId="0" xfId="0" applyBorder="1" applyAlignment="1" applyProtection="1">
      <alignment horizontal="center" wrapText="1"/>
    </xf>
    <xf numFmtId="0" fontId="6" fillId="0" borderId="0" xfId="0" applyFont="1" applyFill="1" applyAlignment="1" applyProtection="1">
      <alignment horizontal="center"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wrapText="1"/>
    </xf>
    <xf numFmtId="0" fontId="9" fillId="6" borderId="56" xfId="0" applyFont="1" applyFill="1" applyBorder="1" applyProtection="1"/>
    <xf numFmtId="0" fontId="9" fillId="6" borderId="25" xfId="0" applyFont="1" applyFill="1" applyBorder="1" applyProtection="1"/>
    <xf numFmtId="0" fontId="9" fillId="6" borderId="57" xfId="0" applyFont="1" applyFill="1" applyBorder="1" applyProtection="1"/>
    <xf numFmtId="0" fontId="9" fillId="6" borderId="49" xfId="0" applyFont="1" applyFill="1" applyBorder="1" applyProtection="1"/>
    <xf numFmtId="0" fontId="9" fillId="6" borderId="54" xfId="0" applyFont="1" applyFill="1" applyBorder="1" applyProtection="1"/>
    <xf numFmtId="0" fontId="42" fillId="6" borderId="0" xfId="0" applyFont="1" applyFill="1" applyBorder="1" applyAlignment="1" applyProtection="1">
      <alignment vertical="top" wrapText="1"/>
    </xf>
    <xf numFmtId="0" fontId="51" fillId="6" borderId="25" xfId="0" applyFont="1" applyFill="1" applyBorder="1" applyAlignment="1" applyProtection="1">
      <alignment horizontal="right" vertical="center" wrapText="1"/>
    </xf>
    <xf numFmtId="0" fontId="9" fillId="0" borderId="0" xfId="0" applyFont="1" applyFill="1" applyBorder="1" applyAlignment="1" applyProtection="1">
      <alignment horizontal="justify" vertical="center" wrapText="1"/>
    </xf>
    <xf numFmtId="0" fontId="9" fillId="6" borderId="19" xfId="0" applyFont="1" applyFill="1" applyBorder="1" applyProtection="1"/>
    <xf numFmtId="0" fontId="0" fillId="0" borderId="0" xfId="0" applyAlignment="1" applyProtection="1">
      <alignment horizontal="center" vertical="center"/>
    </xf>
    <xf numFmtId="0" fontId="9" fillId="6" borderId="58" xfId="0" applyFont="1" applyFill="1" applyBorder="1" applyProtection="1"/>
    <xf numFmtId="0" fontId="9" fillId="6" borderId="59" xfId="0" applyFont="1" applyFill="1" applyBorder="1" applyAlignment="1" applyProtection="1">
      <alignment horizontal="center" vertical="center"/>
    </xf>
    <xf numFmtId="0" fontId="9" fillId="6" borderId="0" xfId="0" applyFont="1" applyFill="1" applyBorder="1" applyProtection="1"/>
    <xf numFmtId="0" fontId="9" fillId="6" borderId="28" xfId="0" applyFont="1" applyFill="1" applyBorder="1" applyProtection="1"/>
    <xf numFmtId="0" fontId="35" fillId="2" borderId="0" xfId="0" applyFont="1" applyFill="1" applyBorder="1" applyAlignment="1" applyProtection="1">
      <alignment horizontal="left" vertical="center" wrapText="1"/>
    </xf>
    <xf numFmtId="0" fontId="6" fillId="6" borderId="19" xfId="0" applyFont="1" applyFill="1" applyBorder="1" applyAlignment="1" applyProtection="1">
      <alignment vertical="center" wrapText="1"/>
    </xf>
    <xf numFmtId="0" fontId="6" fillId="6" borderId="21" xfId="0" applyFont="1" applyFill="1" applyBorder="1" applyAlignment="1" applyProtection="1">
      <alignment vertical="center" wrapText="1"/>
    </xf>
    <xf numFmtId="0" fontId="13" fillId="4" borderId="21" xfId="0" applyFont="1" applyFill="1" applyBorder="1" applyAlignment="1" applyProtection="1">
      <alignment horizontal="left" vertical="center" wrapText="1" indent="4"/>
    </xf>
    <xf numFmtId="0" fontId="13" fillId="6" borderId="21" xfId="0" applyFont="1" applyFill="1" applyBorder="1" applyAlignment="1" applyProtection="1">
      <alignment horizontal="left" vertical="center" wrapText="1" indent="4"/>
    </xf>
    <xf numFmtId="0" fontId="54" fillId="6" borderId="21" xfId="0" applyFont="1" applyFill="1" applyBorder="1" applyAlignment="1" applyProtection="1">
      <alignment horizontal="right" vertical="center" wrapText="1"/>
    </xf>
    <xf numFmtId="0" fontId="10" fillId="6" borderId="24" xfId="0" applyFont="1" applyFill="1" applyBorder="1" applyAlignment="1" applyProtection="1">
      <alignment horizontal="right"/>
    </xf>
    <xf numFmtId="0" fontId="1" fillId="15" borderId="0" xfId="0" applyFont="1" applyFill="1" applyProtection="1"/>
    <xf numFmtId="0" fontId="10" fillId="0" borderId="0" xfId="0" applyFont="1" applyAlignment="1" applyProtection="1">
      <alignment wrapText="1"/>
    </xf>
    <xf numFmtId="0" fontId="42" fillId="0" borderId="0" xfId="0" applyFont="1" applyFill="1" applyBorder="1" applyAlignment="1" applyProtection="1">
      <alignment horizontal="right" vertical="center" wrapText="1"/>
    </xf>
    <xf numFmtId="0" fontId="42" fillId="0" borderId="28" xfId="0" applyFont="1" applyFill="1" applyBorder="1" applyAlignment="1" applyProtection="1">
      <alignment vertical="center" wrapText="1"/>
    </xf>
    <xf numFmtId="0" fontId="10" fillId="0" borderId="0" xfId="0" applyFont="1" applyFill="1" applyBorder="1" applyAlignment="1" applyProtection="1">
      <alignment wrapText="1"/>
    </xf>
    <xf numFmtId="0" fontId="10" fillId="0" borderId="0" xfId="0" applyFont="1" applyBorder="1" applyAlignment="1" applyProtection="1">
      <alignment wrapText="1"/>
    </xf>
    <xf numFmtId="0" fontId="9" fillId="8" borderId="22"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10" fillId="0" borderId="28" xfId="0" applyFont="1" applyBorder="1" applyProtection="1"/>
    <xf numFmtId="0" fontId="10" fillId="0" borderId="2" xfId="0" applyFont="1" applyBorder="1" applyAlignment="1" applyProtection="1">
      <alignment wrapText="1"/>
    </xf>
    <xf numFmtId="0" fontId="42" fillId="0" borderId="0" xfId="0" applyFont="1" applyAlignment="1" applyProtection="1">
      <alignment horizontal="center" wrapText="1"/>
    </xf>
    <xf numFmtId="0" fontId="42" fillId="0" borderId="0" xfId="0" applyFont="1" applyAlignment="1" applyProtection="1">
      <alignment horizontal="center" vertical="center" wrapText="1"/>
    </xf>
    <xf numFmtId="0" fontId="10" fillId="0" borderId="60" xfId="0" applyFont="1" applyBorder="1" applyAlignment="1" applyProtection="1">
      <alignment wrapText="1"/>
    </xf>
    <xf numFmtId="0" fontId="0" fillId="0" borderId="0" xfId="0" applyBorder="1" applyAlignment="1">
      <alignment horizontal="left" wrapText="1"/>
    </xf>
    <xf numFmtId="0" fontId="10" fillId="0" borderId="0" xfId="0" applyFont="1" applyFill="1" applyBorder="1" applyAlignment="1">
      <alignment wrapText="1"/>
    </xf>
    <xf numFmtId="0" fontId="22" fillId="0" borderId="0" xfId="0" applyFont="1" applyBorder="1" applyProtection="1"/>
    <xf numFmtId="0" fontId="5" fillId="0" borderId="0" xfId="0" applyFont="1" applyBorder="1" applyProtection="1"/>
    <xf numFmtId="0" fontId="35" fillId="0" borderId="0" xfId="0" applyFont="1" applyBorder="1" applyAlignment="1" applyProtection="1">
      <alignment horizontal="left" vertical="center" wrapText="1" indent="2"/>
    </xf>
    <xf numFmtId="0" fontId="9" fillId="0" borderId="19"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4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protection locked="0"/>
    </xf>
    <xf numFmtId="0" fontId="3" fillId="0" borderId="61" xfId="0" applyFont="1" applyBorder="1" applyAlignment="1" applyProtection="1">
      <alignment horizontal="center"/>
      <protection locked="0"/>
    </xf>
    <xf numFmtId="0" fontId="3" fillId="0" borderId="62" xfId="0" applyFont="1" applyBorder="1" applyAlignment="1" applyProtection="1">
      <alignment horizontal="center"/>
      <protection locked="0"/>
    </xf>
    <xf numFmtId="0" fontId="9" fillId="0" borderId="19" xfId="0" applyFont="1" applyFill="1" applyBorder="1" applyAlignment="1" applyProtection="1">
      <alignment horizontal="center" vertical="center" wrapText="1"/>
      <protection locked="0"/>
    </xf>
    <xf numFmtId="0" fontId="3" fillId="0" borderId="63" xfId="0" applyFont="1" applyBorder="1" applyAlignment="1" applyProtection="1">
      <alignment horizontal="center"/>
      <protection locked="0"/>
    </xf>
    <xf numFmtId="0" fontId="3" fillId="0" borderId="64" xfId="0" applyFont="1" applyBorder="1" applyAlignment="1" applyProtection="1">
      <alignment horizontal="center"/>
      <protection locked="0"/>
    </xf>
    <xf numFmtId="0" fontId="3" fillId="0" borderId="65" xfId="0" applyFont="1" applyBorder="1" applyAlignment="1" applyProtection="1">
      <alignment horizontal="center"/>
      <protection locked="0"/>
    </xf>
    <xf numFmtId="0" fontId="9" fillId="0" borderId="49"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3" fillId="0" borderId="52" xfId="0" applyFont="1" applyBorder="1" applyAlignment="1" applyProtection="1">
      <alignment horizontal="center"/>
      <protection locked="0"/>
    </xf>
    <xf numFmtId="0" fontId="3" fillId="0" borderId="66" xfId="0" applyFont="1" applyBorder="1" applyAlignment="1" applyProtection="1">
      <alignment horizontal="center"/>
      <protection locked="0"/>
    </xf>
    <xf numFmtId="0" fontId="3" fillId="0" borderId="67"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9" fillId="0" borderId="19"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wrapText="1"/>
      <protection locked="0"/>
    </xf>
    <xf numFmtId="0" fontId="35" fillId="0" borderId="19" xfId="0" applyFont="1" applyBorder="1" applyAlignment="1" applyProtection="1">
      <alignment horizontal="left" vertical="center" wrapText="1"/>
      <protection locked="0"/>
    </xf>
    <xf numFmtId="0" fontId="35" fillId="0" borderId="21" xfId="0" applyFont="1" applyBorder="1" applyAlignment="1" applyProtection="1">
      <alignment horizontal="left" vertical="center" wrapText="1"/>
      <protection locked="0"/>
    </xf>
    <xf numFmtId="0" fontId="35" fillId="0" borderId="21" xfId="0" applyFont="1" applyFill="1" applyBorder="1" applyAlignment="1" applyProtection="1">
      <alignment horizontal="left" vertical="center" wrapText="1"/>
      <protection locked="0"/>
    </xf>
    <xf numFmtId="0" fontId="35" fillId="0" borderId="49" xfId="0" applyFont="1" applyFill="1" applyBorder="1" applyAlignment="1" applyProtection="1">
      <alignment horizontal="left" vertical="center" wrapText="1"/>
      <protection locked="0"/>
    </xf>
    <xf numFmtId="0" fontId="35" fillId="0" borderId="20"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49" xfId="0" applyFont="1" applyBorder="1" applyAlignment="1" applyProtection="1">
      <alignment horizontal="left" vertical="center" wrapText="1"/>
      <protection locked="0"/>
    </xf>
    <xf numFmtId="0" fontId="35" fillId="0" borderId="20" xfId="0" applyFont="1" applyBorder="1" applyAlignment="1" applyProtection="1">
      <alignment horizontal="left" vertical="center" wrapText="1"/>
      <protection locked="0"/>
    </xf>
    <xf numFmtId="0" fontId="6" fillId="11" borderId="68" xfId="0" applyNumberFormat="1" applyFont="1" applyFill="1" applyBorder="1" applyAlignment="1" applyProtection="1">
      <alignment horizontal="center" vertical="center"/>
      <protection locked="0"/>
    </xf>
    <xf numFmtId="0" fontId="37" fillId="11" borderId="68" xfId="0" applyNumberFormat="1" applyFont="1" applyFill="1" applyBorder="1" applyAlignment="1" applyProtection="1">
      <alignment horizontal="left" vertical="center"/>
      <protection locked="0"/>
    </xf>
    <xf numFmtId="0" fontId="37" fillId="11" borderId="68" xfId="0" applyNumberFormat="1" applyFont="1" applyFill="1" applyBorder="1" applyAlignment="1" applyProtection="1">
      <alignment horizontal="left" vertical="center" wrapText="1"/>
      <protection locked="0"/>
    </xf>
    <xf numFmtId="0" fontId="6" fillId="11" borderId="68" xfId="0" applyNumberFormat="1" applyFont="1" applyFill="1" applyBorder="1" applyAlignment="1" applyProtection="1">
      <alignment horizontal="center" vertical="center" wrapText="1"/>
      <protection locked="0"/>
    </xf>
    <xf numFmtId="0" fontId="69" fillId="11" borderId="68" xfId="0" applyNumberFormat="1" applyFont="1" applyFill="1" applyBorder="1" applyAlignment="1" applyProtection="1">
      <alignment horizontal="left" vertical="center"/>
      <protection locked="0"/>
    </xf>
    <xf numFmtId="1" fontId="9" fillId="0" borderId="20" xfId="0" applyNumberFormat="1" applyFont="1" applyFill="1" applyBorder="1" applyAlignment="1" applyProtection="1">
      <alignment horizontal="center" vertical="center"/>
      <protection locked="0"/>
    </xf>
    <xf numFmtId="1" fontId="35" fillId="0" borderId="20" xfId="0" applyNumberFormat="1" applyFont="1" applyFill="1" applyBorder="1" applyAlignment="1" applyProtection="1">
      <alignment horizontal="left" vertical="center" wrapText="1"/>
      <protection locked="0"/>
    </xf>
    <xf numFmtId="0" fontId="9" fillId="15" borderId="19" xfId="0" applyFont="1" applyFill="1" applyBorder="1" applyAlignment="1" applyProtection="1">
      <alignment horizontal="center" vertical="center" wrapText="1"/>
      <protection locked="0"/>
    </xf>
    <xf numFmtId="0" fontId="35" fillId="15" borderId="19" xfId="0" applyFont="1" applyFill="1" applyBorder="1" applyAlignment="1" applyProtection="1">
      <alignment horizontal="left" vertical="center" wrapText="1"/>
      <protection locked="0"/>
    </xf>
    <xf numFmtId="0" fontId="9" fillId="0" borderId="21" xfId="0" applyNumberFormat="1" applyFont="1" applyFill="1" applyBorder="1" applyAlignment="1" applyProtection="1">
      <alignment horizontal="center" vertical="center" wrapText="1"/>
      <protection locked="0"/>
    </xf>
    <xf numFmtId="0" fontId="9" fillId="0" borderId="20" xfId="0" applyNumberFormat="1" applyFont="1" applyFill="1" applyBorder="1" applyAlignment="1" applyProtection="1">
      <alignment horizontal="center" vertical="center" wrapText="1"/>
      <protection locked="0"/>
    </xf>
    <xf numFmtId="0" fontId="13" fillId="15" borderId="19" xfId="0" applyFont="1" applyFill="1" applyBorder="1" applyAlignment="1" applyProtection="1">
      <alignment horizontal="left" vertical="center" wrapText="1"/>
    </xf>
    <xf numFmtId="0" fontId="9" fillId="15" borderId="21" xfId="0" applyFont="1" applyFill="1" applyBorder="1" applyAlignment="1" applyProtection="1">
      <alignment horizontal="center" vertical="center"/>
    </xf>
    <xf numFmtId="0" fontId="35" fillId="15" borderId="49" xfId="0" applyFont="1" applyFill="1" applyBorder="1" applyAlignment="1" applyProtection="1">
      <alignment horizontal="center" vertical="center" wrapText="1"/>
      <protection locked="0"/>
    </xf>
    <xf numFmtId="0" fontId="37" fillId="11" borderId="68" xfId="0" applyNumberFormat="1" applyFont="1" applyFill="1" applyBorder="1" applyAlignment="1" applyProtection="1">
      <alignment horizontal="left" vertical="center"/>
    </xf>
    <xf numFmtId="0" fontId="6" fillId="11" borderId="68" xfId="0" applyNumberFormat="1" applyFont="1" applyFill="1" applyBorder="1" applyAlignment="1" applyProtection="1">
      <alignment horizontal="center" vertical="center"/>
    </xf>
    <xf numFmtId="0" fontId="69" fillId="11" borderId="68" xfId="0" applyNumberFormat="1" applyFont="1" applyFill="1" applyBorder="1" applyAlignment="1" applyProtection="1">
      <alignment horizontal="left" vertical="center"/>
    </xf>
    <xf numFmtId="0" fontId="9" fillId="0" borderId="23" xfId="0" applyFont="1" applyFill="1" applyBorder="1" applyAlignment="1" applyProtection="1">
      <alignment horizontal="left" vertical="center" wrapText="1"/>
    </xf>
    <xf numFmtId="0" fontId="10" fillId="0" borderId="0" xfId="0" applyFont="1" applyBorder="1" applyAlignment="1">
      <alignment wrapText="1"/>
    </xf>
    <xf numFmtId="0" fontId="10"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xf numFmtId="0" fontId="1"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0" fontId="9" fillId="0" borderId="0" xfId="0" applyFont="1" applyFill="1" applyBorder="1" applyAlignment="1" applyProtection="1">
      <alignment vertical="top" wrapText="1"/>
    </xf>
    <xf numFmtId="0" fontId="77" fillId="0" borderId="22" xfId="1" applyFont="1" applyBorder="1" applyAlignment="1">
      <alignment horizontal="right"/>
    </xf>
    <xf numFmtId="0" fontId="0" fillId="15" borderId="0" xfId="0" applyFill="1" applyProtection="1"/>
    <xf numFmtId="0" fontId="68" fillId="16" borderId="33" xfId="4" applyFont="1" applyFill="1" applyBorder="1" applyAlignment="1" applyProtection="1">
      <alignment horizontal="center"/>
    </xf>
    <xf numFmtId="0" fontId="77" fillId="15" borderId="22" xfId="1" applyFont="1" applyFill="1" applyBorder="1"/>
    <xf numFmtId="0" fontId="77" fillId="15" borderId="22" xfId="1" applyFont="1" applyFill="1" applyBorder="1" applyAlignment="1">
      <alignment horizontal="right"/>
    </xf>
    <xf numFmtId="0" fontId="68" fillId="17" borderId="1" xfId="5" applyFont="1" applyFill="1" applyBorder="1" applyAlignment="1" applyProtection="1">
      <alignment horizontal="left" wrapText="1"/>
    </xf>
    <xf numFmtId="0" fontId="5" fillId="0" borderId="0" xfId="0" applyFont="1" applyBorder="1" applyAlignment="1" applyProtection="1">
      <alignment horizontal="left" wrapText="1"/>
    </xf>
    <xf numFmtId="0" fontId="0" fillId="0" borderId="0" xfId="0" applyFill="1" applyBorder="1" applyAlignment="1">
      <alignment wrapText="1"/>
    </xf>
    <xf numFmtId="0" fontId="10" fillId="0" borderId="0" xfId="0" applyFont="1" applyFill="1" applyBorder="1" applyAlignment="1" applyProtection="1"/>
    <xf numFmtId="0" fontId="0" fillId="0" borderId="0" xfId="0" applyFill="1" applyBorder="1" applyAlignment="1" applyProtection="1">
      <alignment vertical="center" wrapText="1"/>
    </xf>
    <xf numFmtId="0" fontId="42" fillId="0" borderId="0" xfId="0" applyFont="1" applyFill="1" applyBorder="1" applyAlignment="1" applyProtection="1">
      <alignment horizontal="center" wrapText="1"/>
    </xf>
    <xf numFmtId="0" fontId="0" fillId="0" borderId="0" xfId="0" applyFill="1" applyBorder="1" applyAlignment="1">
      <alignment horizontal="center" vertical="center" wrapText="1"/>
    </xf>
    <xf numFmtId="0" fontId="9" fillId="0" borderId="49" xfId="0" applyNumberFormat="1" applyFont="1" applyFill="1" applyBorder="1" applyAlignment="1" applyProtection="1">
      <alignment horizontal="center" vertical="center" wrapText="1"/>
      <protection locked="0"/>
    </xf>
    <xf numFmtId="0" fontId="9" fillId="0" borderId="23" xfId="0" applyFont="1" applyFill="1" applyBorder="1" applyAlignment="1" applyProtection="1">
      <alignment horizontal="left" vertical="center" wrapText="1" indent="1"/>
    </xf>
    <xf numFmtId="0" fontId="6" fillId="15" borderId="19" xfId="0" applyFont="1" applyFill="1" applyBorder="1" applyAlignment="1" applyProtection="1">
      <alignment horizontal="center" vertical="center"/>
    </xf>
    <xf numFmtId="0" fontId="13" fillId="15" borderId="21" xfId="0" applyFont="1" applyFill="1" applyBorder="1" applyAlignment="1" applyProtection="1">
      <alignment horizontal="left" vertical="center"/>
    </xf>
    <xf numFmtId="0" fontId="6" fillId="15" borderId="21" xfId="0" applyFont="1" applyFill="1" applyBorder="1" applyAlignment="1" applyProtection="1">
      <alignment horizontal="center" vertical="center"/>
    </xf>
    <xf numFmtId="0" fontId="3" fillId="0" borderId="0" xfId="0" applyFont="1" applyBorder="1" applyAlignment="1" applyProtection="1">
      <alignment horizontal="center"/>
      <protection locked="0"/>
    </xf>
    <xf numFmtId="0" fontId="3" fillId="0" borderId="0" xfId="0" applyFont="1" applyFill="1" applyBorder="1" applyAlignment="1">
      <alignment horizontal="center" vertical="center" wrapText="1"/>
    </xf>
    <xf numFmtId="0" fontId="9" fillId="15" borderId="49" xfId="0" applyFont="1" applyFill="1" applyBorder="1" applyAlignment="1" applyProtection="1">
      <alignment horizontal="right" wrapText="1"/>
      <protection locked="0"/>
    </xf>
    <xf numFmtId="0" fontId="9" fillId="15" borderId="19" xfId="0" applyFont="1" applyFill="1" applyBorder="1" applyAlignment="1" applyProtection="1">
      <alignment horizontal="center" vertical="center"/>
    </xf>
    <xf numFmtId="0" fontId="9" fillId="15" borderId="21" xfId="0" applyFont="1" applyFill="1" applyBorder="1" applyAlignment="1" applyProtection="1">
      <alignment horizontal="center" vertical="top"/>
    </xf>
    <xf numFmtId="0" fontId="9" fillId="6" borderId="19" xfId="0" applyFont="1" applyFill="1" applyBorder="1" applyAlignment="1" applyProtection="1">
      <alignment horizontal="left" vertical="center" wrapText="1" indent="1"/>
    </xf>
    <xf numFmtId="0" fontId="9" fillId="15" borderId="49" xfId="0" applyFont="1" applyFill="1" applyBorder="1" applyAlignment="1" applyProtection="1">
      <alignment horizontal="center" vertical="top"/>
    </xf>
    <xf numFmtId="0" fontId="9" fillId="15" borderId="20" xfId="0" applyFont="1" applyFill="1" applyBorder="1" applyAlignment="1" applyProtection="1">
      <alignment horizontal="center" vertical="top"/>
    </xf>
    <xf numFmtId="0" fontId="23" fillId="6" borderId="0" xfId="0" applyFont="1" applyFill="1" applyBorder="1" applyProtection="1"/>
    <xf numFmtId="0" fontId="6" fillId="15" borderId="21" xfId="0" applyFont="1" applyFill="1" applyBorder="1" applyAlignment="1" applyProtection="1">
      <alignment horizontal="left" vertical="center" wrapText="1"/>
    </xf>
    <xf numFmtId="0" fontId="9" fillId="15" borderId="21" xfId="0" applyFont="1" applyFill="1" applyBorder="1" applyAlignment="1" applyProtection="1">
      <alignment horizontal="left" vertical="center" wrapText="1"/>
    </xf>
    <xf numFmtId="0" fontId="9" fillId="15" borderId="21" xfId="0" applyFont="1" applyFill="1" applyBorder="1" applyAlignment="1" applyProtection="1">
      <alignment horizontal="left" vertical="center" wrapText="1" indent="2"/>
    </xf>
    <xf numFmtId="0" fontId="9" fillId="15" borderId="21" xfId="0" applyFont="1" applyFill="1" applyBorder="1" applyAlignment="1" applyProtection="1">
      <alignment horizontal="left" vertical="center" indent="2"/>
    </xf>
    <xf numFmtId="0" fontId="9" fillId="15" borderId="21" xfId="0" applyFont="1" applyFill="1" applyBorder="1" applyAlignment="1" applyProtection="1">
      <alignment horizontal="left" vertical="center" indent="1"/>
    </xf>
    <xf numFmtId="0" fontId="9" fillId="15" borderId="21" xfId="0" applyFont="1" applyFill="1" applyBorder="1" applyAlignment="1" applyProtection="1">
      <alignment horizontal="left" vertical="center" wrapText="1" indent="3"/>
    </xf>
    <xf numFmtId="0" fontId="9" fillId="15" borderId="49" xfId="0" applyFont="1" applyFill="1" applyBorder="1" applyAlignment="1" applyProtection="1">
      <alignment horizontal="left" vertical="center" indent="2"/>
    </xf>
    <xf numFmtId="0" fontId="9" fillId="15" borderId="20" xfId="0" applyFont="1" applyFill="1" applyBorder="1" applyAlignment="1" applyProtection="1">
      <alignment horizontal="center" vertical="center"/>
    </xf>
    <xf numFmtId="0" fontId="9" fillId="15" borderId="20" xfId="0" applyFont="1" applyFill="1" applyBorder="1" applyAlignment="1" applyProtection="1">
      <alignment horizontal="left" vertical="center" wrapText="1"/>
    </xf>
    <xf numFmtId="0" fontId="58" fillId="15" borderId="0" xfId="0" applyFont="1" applyFill="1" applyProtection="1"/>
    <xf numFmtId="0" fontId="6" fillId="15" borderId="47" xfId="0" applyFont="1" applyFill="1" applyBorder="1" applyAlignment="1" applyProtection="1">
      <alignment horizontal="center" vertical="center"/>
    </xf>
    <xf numFmtId="0" fontId="6" fillId="6" borderId="69" xfId="0" applyFont="1" applyFill="1" applyBorder="1" applyAlignment="1" applyProtection="1">
      <alignment horizontal="center" vertical="center"/>
    </xf>
    <xf numFmtId="0" fontId="4" fillId="0" borderId="70" xfId="0" applyFont="1" applyFill="1" applyBorder="1" applyAlignment="1">
      <alignment vertical="top" wrapText="1"/>
    </xf>
    <xf numFmtId="49" fontId="2" fillId="0" borderId="31" xfId="0" applyNumberFormat="1" applyFont="1" applyFill="1" applyBorder="1" applyAlignment="1">
      <alignment vertical="top" wrapText="1"/>
    </xf>
    <xf numFmtId="0" fontId="3" fillId="0" borderId="71" xfId="0" applyFont="1" applyFill="1" applyBorder="1" applyAlignment="1">
      <alignment vertical="top" wrapText="1"/>
    </xf>
    <xf numFmtId="0" fontId="9" fillId="18" borderId="22" xfId="0" applyFont="1" applyFill="1" applyBorder="1" applyAlignment="1">
      <alignment horizontal="center" wrapText="1"/>
    </xf>
    <xf numFmtId="0" fontId="9" fillId="0" borderId="19" xfId="2" applyFont="1" applyFill="1" applyBorder="1" applyAlignment="1" applyProtection="1">
      <alignment horizontal="left" vertical="center" wrapText="1" indent="2"/>
    </xf>
    <xf numFmtId="0" fontId="9" fillId="0" borderId="21" xfId="2" applyFont="1" applyFill="1" applyBorder="1" applyAlignment="1" applyProtection="1">
      <alignment horizontal="left" vertical="center" indent="1"/>
    </xf>
    <xf numFmtId="0" fontId="9" fillId="0" borderId="21" xfId="0" applyFont="1" applyFill="1" applyBorder="1" applyAlignment="1" applyProtection="1">
      <alignment horizontal="left" vertical="center" wrapText="1" indent="1"/>
    </xf>
    <xf numFmtId="0" fontId="9" fillId="0" borderId="19" xfId="0" applyFont="1" applyFill="1" applyBorder="1" applyAlignment="1" applyProtection="1">
      <alignment horizontal="left" vertical="center" wrapText="1" indent="1"/>
    </xf>
    <xf numFmtId="0" fontId="9" fillId="0" borderId="21" xfId="2" applyFont="1" applyFill="1" applyBorder="1" applyAlignment="1" applyProtection="1">
      <alignment horizontal="left" vertical="center" wrapText="1" indent="2"/>
    </xf>
    <xf numFmtId="0" fontId="9" fillId="0" borderId="21" xfId="0" applyFont="1" applyFill="1" applyBorder="1" applyAlignment="1" applyProtection="1">
      <alignment horizontal="left" vertical="center" wrapText="1" indent="3"/>
    </xf>
    <xf numFmtId="0" fontId="78" fillId="0" borderId="2" xfId="0" applyFont="1" applyBorder="1" applyAlignment="1"/>
    <xf numFmtId="0" fontId="3" fillId="0" borderId="72" xfId="0" applyFont="1" applyFill="1" applyBorder="1" applyAlignment="1">
      <alignment vertical="top" wrapText="1"/>
    </xf>
    <xf numFmtId="0" fontId="4" fillId="0" borderId="22" xfId="0" applyFont="1" applyFill="1" applyBorder="1" applyAlignment="1">
      <alignment horizontal="left" vertical="center" wrapText="1"/>
    </xf>
    <xf numFmtId="0" fontId="4" fillId="0" borderId="22" xfId="0" applyFont="1" applyFill="1" applyBorder="1" applyAlignment="1">
      <alignment horizontal="left" vertical="center"/>
    </xf>
    <xf numFmtId="0" fontId="39" fillId="0" borderId="0" xfId="0" applyFont="1" applyAlignment="1" applyProtection="1">
      <alignment horizontal="left"/>
    </xf>
    <xf numFmtId="0" fontId="79" fillId="0" borderId="2" xfId="0" applyFont="1" applyBorder="1" applyAlignment="1" applyProtection="1">
      <alignment horizontal="left"/>
    </xf>
    <xf numFmtId="0" fontId="9" fillId="0" borderId="19" xfId="0" applyFont="1" applyFill="1" applyBorder="1" applyAlignment="1" applyProtection="1">
      <alignment horizontal="left" vertical="center" wrapText="1" indent="2"/>
    </xf>
    <xf numFmtId="0" fontId="9" fillId="0" borderId="20" xfId="0" applyFont="1" applyFill="1" applyBorder="1" applyAlignment="1" applyProtection="1">
      <alignment horizontal="left" vertical="center" wrapText="1" indent="1"/>
    </xf>
    <xf numFmtId="0" fontId="9" fillId="0" borderId="21" xfId="2" applyFont="1" applyFill="1" applyBorder="1" applyAlignment="1" applyProtection="1">
      <alignment horizontal="left" vertical="center" wrapText="1"/>
    </xf>
    <xf numFmtId="0" fontId="9" fillId="0" borderId="21" xfId="0" applyFont="1" applyFill="1" applyBorder="1" applyAlignment="1" applyProtection="1">
      <alignment horizontal="left" vertical="center"/>
    </xf>
    <xf numFmtId="0" fontId="71" fillId="0" borderId="0" xfId="0" applyFont="1" applyFill="1" applyAlignment="1">
      <alignment vertical="top"/>
    </xf>
    <xf numFmtId="0" fontId="9" fillId="0" borderId="0" xfId="2" applyFont="1" applyAlignment="1">
      <alignment horizontal="center" vertical="center" wrapText="1"/>
    </xf>
    <xf numFmtId="0" fontId="9" fillId="18" borderId="22" xfId="2" applyFont="1" applyFill="1" applyBorder="1" applyAlignment="1">
      <alignment horizontal="center" vertical="center" wrapText="1"/>
    </xf>
    <xf numFmtId="0" fontId="23" fillId="0" borderId="0" xfId="2" applyAlignment="1">
      <alignment horizontal="center" vertical="center" wrapText="1"/>
    </xf>
    <xf numFmtId="0" fontId="80" fillId="0" borderId="0" xfId="2" applyFont="1" applyAlignment="1">
      <alignment horizontal="left" vertical="top" wrapText="1"/>
    </xf>
    <xf numFmtId="0" fontId="9" fillId="0" borderId="0" xfId="2" applyFont="1" applyAlignment="1">
      <alignment vertical="center" wrapText="1"/>
    </xf>
    <xf numFmtId="0" fontId="6" fillId="15" borderId="19" xfId="0" applyFont="1" applyFill="1" applyBorder="1" applyAlignment="1" applyProtection="1">
      <alignment horizontal="left" vertical="center" wrapText="1"/>
    </xf>
    <xf numFmtId="0" fontId="13" fillId="6" borderId="19" xfId="0" applyFont="1" applyFill="1" applyBorder="1" applyAlignment="1" applyProtection="1">
      <alignment horizontal="left" vertical="center" wrapText="1"/>
    </xf>
    <xf numFmtId="0" fontId="13" fillId="6" borderId="19" xfId="0" applyFont="1" applyFill="1" applyBorder="1" applyAlignment="1" applyProtection="1">
      <alignment horizontal="left" vertical="center"/>
    </xf>
    <xf numFmtId="0" fontId="6" fillId="15" borderId="19" xfId="0" applyFont="1" applyFill="1" applyBorder="1" applyAlignment="1" applyProtection="1">
      <alignment horizontal="right" vertical="center" wrapText="1"/>
    </xf>
    <xf numFmtId="0" fontId="51" fillId="15" borderId="21" xfId="0" applyFont="1" applyFill="1" applyBorder="1" applyAlignment="1" applyProtection="1">
      <alignment horizontal="center" vertical="center"/>
    </xf>
    <xf numFmtId="0" fontId="51" fillId="15" borderId="21" xfId="0" applyFont="1" applyFill="1" applyBorder="1" applyAlignment="1" applyProtection="1">
      <alignment horizontal="right" vertical="center"/>
    </xf>
    <xf numFmtId="0" fontId="42" fillId="15" borderId="21" xfId="0" applyFont="1" applyFill="1" applyBorder="1" applyAlignment="1" applyProtection="1">
      <alignment horizontal="center"/>
    </xf>
    <xf numFmtId="0" fontId="80" fillId="15" borderId="19" xfId="0" applyFont="1" applyFill="1" applyBorder="1" applyAlignment="1" applyProtection="1">
      <alignment horizontal="right" vertical="center" wrapText="1"/>
    </xf>
    <xf numFmtId="0" fontId="80" fillId="15" borderId="21" xfId="0" applyFont="1" applyFill="1" applyBorder="1" applyAlignment="1" applyProtection="1">
      <alignment horizontal="right" vertical="center"/>
    </xf>
    <xf numFmtId="0" fontId="42" fillId="15" borderId="20" xfId="0" applyFont="1" applyFill="1" applyBorder="1" applyAlignment="1" applyProtection="1">
      <alignment horizontal="center"/>
    </xf>
    <xf numFmtId="0" fontId="51" fillId="15" borderId="20" xfId="0" applyFont="1" applyFill="1" applyBorder="1" applyAlignment="1" applyProtection="1">
      <alignment horizontal="right" vertical="center"/>
    </xf>
    <xf numFmtId="0" fontId="9" fillId="15" borderId="49" xfId="0" applyFont="1" applyFill="1" applyBorder="1" applyAlignment="1" applyProtection="1">
      <alignment horizontal="center" vertical="center"/>
    </xf>
    <xf numFmtId="0" fontId="13" fillId="15" borderId="49" xfId="0" applyFont="1" applyFill="1" applyBorder="1" applyAlignment="1" applyProtection="1">
      <alignment horizontal="left" vertical="center"/>
    </xf>
    <xf numFmtId="0" fontId="9" fillId="6" borderId="49" xfId="0" applyFont="1" applyFill="1" applyBorder="1" applyAlignment="1" applyProtection="1">
      <alignment horizontal="center" vertical="center" wrapText="1"/>
    </xf>
    <xf numFmtId="0" fontId="9" fillId="19" borderId="19" xfId="0" applyFont="1" applyFill="1" applyBorder="1" applyAlignment="1">
      <alignment horizontal="center" vertical="center"/>
    </xf>
    <xf numFmtId="0" fontId="9" fillId="19" borderId="50" xfId="0" applyFont="1" applyFill="1" applyBorder="1" applyAlignment="1">
      <alignment horizontal="center" vertical="center"/>
    </xf>
    <xf numFmtId="0" fontId="9" fillId="6" borderId="73" xfId="0" applyFont="1" applyFill="1" applyBorder="1" applyProtection="1"/>
    <xf numFmtId="0" fontId="9" fillId="6" borderId="74" xfId="0" applyFont="1" applyFill="1" applyBorder="1" applyProtection="1"/>
    <xf numFmtId="0" fontId="9" fillId="6" borderId="21" xfId="0" applyFont="1" applyFill="1" applyBorder="1" applyProtection="1"/>
    <xf numFmtId="0" fontId="9" fillId="6" borderId="75" xfId="0" applyFont="1" applyFill="1" applyBorder="1" applyAlignment="1" applyProtection="1">
      <alignment horizontal="center" vertical="center"/>
    </xf>
    <xf numFmtId="0" fontId="58" fillId="6" borderId="0" xfId="0" applyFont="1" applyFill="1" applyBorder="1" applyProtection="1"/>
    <xf numFmtId="0" fontId="9" fillId="6" borderId="0" xfId="0" applyFont="1" applyFill="1" applyBorder="1" applyAlignment="1" applyProtection="1">
      <alignment horizontal="left" vertical="center" wrapText="1" indent="2"/>
    </xf>
    <xf numFmtId="0" fontId="6" fillId="6" borderId="0" xfId="0" applyFont="1" applyFill="1" applyBorder="1" applyAlignment="1" applyProtection="1">
      <alignment vertical="center" wrapText="1"/>
    </xf>
    <xf numFmtId="0" fontId="9" fillId="6" borderId="0" xfId="0" applyFont="1" applyFill="1" applyBorder="1" applyAlignment="1" applyProtection="1">
      <alignment horizontal="right" vertical="center" wrapText="1" indent="2"/>
    </xf>
    <xf numFmtId="0" fontId="51" fillId="6" borderId="0" xfId="0" applyFont="1" applyFill="1" applyBorder="1" applyAlignment="1" applyProtection="1">
      <alignment horizontal="center" vertical="center"/>
    </xf>
    <xf numFmtId="0" fontId="55" fillId="6" borderId="0" xfId="0" applyFont="1" applyFill="1" applyBorder="1" applyProtection="1"/>
    <xf numFmtId="0" fontId="3" fillId="0" borderId="0" xfId="0" applyFont="1" applyFill="1" applyAlignment="1">
      <alignment vertical="center"/>
    </xf>
    <xf numFmtId="0" fontId="4" fillId="0" borderId="76" xfId="0" applyFont="1" applyFill="1" applyBorder="1" applyAlignment="1">
      <alignment vertical="top" wrapText="1"/>
    </xf>
    <xf numFmtId="0" fontId="4" fillId="0" borderId="77" xfId="0" applyFont="1" applyFill="1" applyBorder="1" applyAlignment="1">
      <alignment vertical="top" wrapText="1"/>
    </xf>
    <xf numFmtId="0" fontId="6" fillId="0" borderId="32" xfId="0" applyFont="1" applyFill="1" applyBorder="1" applyAlignment="1">
      <alignment vertical="top" wrapText="1"/>
    </xf>
    <xf numFmtId="0" fontId="9" fillId="0" borderId="0" xfId="2" applyFont="1" applyFill="1" applyAlignment="1">
      <alignment horizontal="center" vertical="center" wrapText="1"/>
    </xf>
    <xf numFmtId="0" fontId="3" fillId="0" borderId="0" xfId="2" applyFont="1" applyFill="1" applyAlignment="1">
      <alignment horizontal="center" vertical="center" wrapText="1"/>
    </xf>
    <xf numFmtId="0" fontId="9" fillId="0" borderId="0" xfId="2" applyFont="1" applyFill="1" applyAlignment="1">
      <alignment horizontal="center"/>
    </xf>
    <xf numFmtId="0" fontId="23" fillId="0" borderId="0" xfId="2" applyFill="1"/>
    <xf numFmtId="0" fontId="4" fillId="0" borderId="0" xfId="2" applyFont="1" applyFill="1" applyAlignment="1">
      <alignment horizontal="center" vertical="center"/>
    </xf>
    <xf numFmtId="0" fontId="9" fillId="15" borderId="0" xfId="2" applyFont="1" applyFill="1" applyAlignment="1">
      <alignment horizontal="right" vertical="center" wrapText="1"/>
    </xf>
    <xf numFmtId="0" fontId="9" fillId="0" borderId="21" xfId="2" applyFont="1" applyFill="1" applyBorder="1" applyAlignment="1">
      <alignment horizontal="center" vertical="center"/>
    </xf>
    <xf numFmtId="0" fontId="9" fillId="0" borderId="21" xfId="2" applyFont="1" applyFill="1" applyBorder="1" applyAlignment="1">
      <alignment horizontal="center" vertical="top"/>
    </xf>
    <xf numFmtId="0" fontId="6" fillId="0" borderId="21" xfId="2" applyFont="1" applyFill="1" applyBorder="1" applyAlignment="1">
      <alignment horizontal="center" vertical="center"/>
    </xf>
    <xf numFmtId="0" fontId="80" fillId="0" borderId="0" xfId="2" applyFont="1" applyFill="1" applyAlignment="1">
      <alignment horizontal="left" vertical="top" wrapText="1"/>
    </xf>
    <xf numFmtId="0" fontId="74" fillId="6" borderId="0" xfId="0" applyFont="1" applyFill="1" applyProtection="1"/>
    <xf numFmtId="0" fontId="74" fillId="15" borderId="0" xfId="0" applyFont="1" applyFill="1" applyProtection="1"/>
    <xf numFmtId="0" fontId="74" fillId="6" borderId="0" xfId="0" applyFont="1" applyFill="1" applyBorder="1" applyProtection="1"/>
    <xf numFmtId="0" fontId="15" fillId="4" borderId="0" xfId="0" applyFont="1" applyFill="1" applyBorder="1" applyAlignment="1">
      <alignment vertical="top" wrapText="1"/>
    </xf>
    <xf numFmtId="0" fontId="0" fillId="4" borderId="0" xfId="0" applyFill="1" applyBorder="1" applyAlignment="1">
      <alignment vertical="top" wrapText="1"/>
    </xf>
    <xf numFmtId="0" fontId="0" fillId="4" borderId="0" xfId="0" applyFill="1" applyBorder="1" applyAlignment="1"/>
    <xf numFmtId="0" fontId="0" fillId="4" borderId="0" xfId="0" applyFill="1"/>
    <xf numFmtId="0" fontId="4" fillId="12" borderId="0" xfId="0" applyFont="1" applyFill="1" applyAlignment="1">
      <alignment horizontal="center" vertical="distributed"/>
    </xf>
    <xf numFmtId="0" fontId="75" fillId="12" borderId="0" xfId="0" applyFont="1" applyFill="1" applyAlignment="1">
      <alignment horizontal="center"/>
    </xf>
    <xf numFmtId="0" fontId="12" fillId="3" borderId="0" xfId="0" applyFont="1" applyFill="1" applyAlignment="1">
      <alignment horizontal="center" vertical="center"/>
    </xf>
    <xf numFmtId="0" fontId="12" fillId="3" borderId="0" xfId="0" applyFont="1" applyFill="1" applyAlignment="1"/>
    <xf numFmtId="0" fontId="15" fillId="4" borderId="28" xfId="0" applyFont="1" applyFill="1" applyBorder="1" applyAlignment="1">
      <alignment vertical="top" wrapText="1"/>
    </xf>
    <xf numFmtId="0" fontId="0" fillId="4" borderId="28" xfId="0" applyFill="1" applyBorder="1" applyAlignment="1">
      <alignment vertical="top" wrapText="1"/>
    </xf>
    <xf numFmtId="0" fontId="0" fillId="4" borderId="28" xfId="0" applyFill="1" applyBorder="1" applyAlignment="1"/>
    <xf numFmtId="0" fontId="15" fillId="4" borderId="2" xfId="0" applyFont="1" applyFill="1" applyBorder="1" applyAlignment="1">
      <alignment horizontal="left" vertical="top"/>
    </xf>
    <xf numFmtId="0" fontId="23" fillId="4" borderId="0" xfId="0" applyFont="1" applyFill="1" applyBorder="1" applyAlignment="1">
      <alignment vertical="top" wrapText="1"/>
    </xf>
    <xf numFmtId="0" fontId="23" fillId="4" borderId="0" xfId="0" applyFont="1" applyFill="1" applyBorder="1" applyAlignment="1"/>
    <xf numFmtId="0" fontId="15" fillId="4" borderId="0" xfId="0" applyFont="1" applyFill="1" applyBorder="1" applyAlignment="1">
      <alignment horizontal="left" vertical="top"/>
    </xf>
    <xf numFmtId="0" fontId="1" fillId="4" borderId="0" xfId="0" applyFont="1" applyFill="1"/>
    <xf numFmtId="0" fontId="3" fillId="0" borderId="0" xfId="0" applyFont="1" applyFill="1" applyAlignment="1">
      <alignment vertical="top" wrapText="1"/>
    </xf>
    <xf numFmtId="0" fontId="3" fillId="0" borderId="0" xfId="0" applyFont="1" applyFill="1" applyBorder="1" applyAlignment="1">
      <alignment horizontal="left" vertical="top" wrapText="1"/>
    </xf>
    <xf numFmtId="0" fontId="12" fillId="2" borderId="0" xfId="0" applyFont="1" applyFill="1" applyAlignment="1">
      <alignment horizontal="center" vertical="center"/>
    </xf>
    <xf numFmtId="0" fontId="3" fillId="0" borderId="0"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5" fillId="3" borderId="0" xfId="0" applyFont="1" applyFill="1" applyAlignment="1">
      <alignment horizontal="center"/>
    </xf>
    <xf numFmtId="0" fontId="3" fillId="0" borderId="0" xfId="0" applyFont="1" applyFill="1" applyBorder="1" applyAlignment="1">
      <alignment vertical="top" wrapText="1"/>
    </xf>
    <xf numFmtId="0" fontId="3" fillId="0" borderId="0" xfId="0" applyFont="1" applyFill="1" applyAlignment="1">
      <alignment horizontal="left" vertical="center" wrapText="1"/>
    </xf>
    <xf numFmtId="0" fontId="5" fillId="13" borderId="0" xfId="0" applyFont="1" applyFill="1" applyBorder="1" applyAlignment="1">
      <alignment horizontal="center"/>
    </xf>
    <xf numFmtId="0" fontId="4" fillId="0" borderId="0" xfId="0" applyFont="1" applyFill="1" applyAlignment="1">
      <alignment vertical="top" wrapText="1"/>
    </xf>
    <xf numFmtId="0" fontId="22" fillId="0" borderId="0" xfId="0" applyFont="1" applyFill="1" applyAlignment="1">
      <alignment wrapText="1"/>
    </xf>
    <xf numFmtId="0" fontId="5" fillId="3" borderId="0" xfId="0" applyFont="1" applyFill="1" applyAlignment="1">
      <alignment horizontal="center" wrapText="1"/>
    </xf>
    <xf numFmtId="0" fontId="4" fillId="0" borderId="0" xfId="0" applyFont="1" applyFill="1" applyBorder="1" applyAlignment="1">
      <alignment horizontal="left" vertical="top" wrapText="1"/>
    </xf>
    <xf numFmtId="0" fontId="3" fillId="0" borderId="78"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79" xfId="0" applyFont="1" applyFill="1" applyBorder="1" applyAlignment="1">
      <alignment horizontal="left" vertical="top" wrapText="1"/>
    </xf>
    <xf numFmtId="0" fontId="4" fillId="0" borderId="78" xfId="0" applyFont="1" applyFill="1" applyBorder="1" applyAlignment="1">
      <alignment horizontal="left" vertical="center" wrapText="1" indent="3"/>
    </xf>
    <xf numFmtId="0" fontId="4" fillId="0" borderId="60" xfId="0" applyFont="1" applyFill="1" applyBorder="1" applyAlignment="1">
      <alignment horizontal="left" vertical="center" wrapText="1" indent="3"/>
    </xf>
    <xf numFmtId="0" fontId="4" fillId="0" borderId="79" xfId="0" applyFont="1" applyFill="1" applyBorder="1" applyAlignment="1">
      <alignment horizontal="left" vertical="center" wrapText="1" indent="3"/>
    </xf>
    <xf numFmtId="0" fontId="5" fillId="3" borderId="0" xfId="0" applyNumberFormat="1" applyFont="1" applyFill="1" applyBorder="1" applyAlignment="1">
      <alignment horizontal="center" vertical="top" wrapText="1"/>
    </xf>
    <xf numFmtId="0" fontId="14" fillId="0" borderId="0" xfId="0" applyFont="1" applyFill="1" applyAlignment="1">
      <alignment vertical="top" wrapText="1"/>
    </xf>
    <xf numFmtId="0" fontId="12" fillId="2" borderId="0" xfId="0" applyFont="1" applyFill="1" applyAlignment="1">
      <alignment horizontal="center"/>
    </xf>
    <xf numFmtId="0" fontId="5" fillId="3" borderId="0" xfId="0" applyFont="1" applyFill="1" applyAlignment="1">
      <alignment horizontal="center" vertical="center"/>
    </xf>
    <xf numFmtId="0" fontId="5" fillId="0" borderId="80" xfId="0" applyFont="1" applyFill="1" applyBorder="1" applyAlignment="1">
      <alignment horizontal="center" vertical="center"/>
    </xf>
    <xf numFmtId="0" fontId="9" fillId="7" borderId="78" xfId="0" applyFont="1" applyFill="1" applyBorder="1" applyAlignment="1">
      <alignment horizontal="center" vertical="center" wrapText="1"/>
    </xf>
    <xf numFmtId="0" fontId="9" fillId="7" borderId="60" xfId="0" applyFont="1" applyFill="1" applyBorder="1" applyAlignment="1">
      <alignment horizontal="center" vertical="center" wrapText="1"/>
    </xf>
    <xf numFmtId="0" fontId="9" fillId="7" borderId="79" xfId="0" applyFont="1" applyFill="1" applyBorder="1" applyAlignment="1">
      <alignment horizontal="center" vertical="center" wrapText="1"/>
    </xf>
    <xf numFmtId="0" fontId="9" fillId="8" borderId="78" xfId="0" applyFont="1" applyFill="1" applyBorder="1" applyAlignment="1">
      <alignment horizontal="center" vertical="center" wrapText="1"/>
    </xf>
    <xf numFmtId="0" fontId="9" fillId="8" borderId="79"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6" xfId="0" applyFont="1" applyFill="1" applyBorder="1" applyAlignment="1">
      <alignment horizontal="center" vertical="center" wrapText="1"/>
    </xf>
    <xf numFmtId="0" fontId="9" fillId="8" borderId="65" xfId="0" applyFont="1" applyFill="1" applyBorder="1" applyAlignment="1">
      <alignment horizontal="center" vertical="center" wrapText="1"/>
    </xf>
    <xf numFmtId="0" fontId="39" fillId="0" borderId="52" xfId="0" applyFont="1" applyFill="1" applyBorder="1" applyAlignment="1">
      <alignment horizontal="center" vertical="top" wrapText="1"/>
    </xf>
    <xf numFmtId="0" fontId="39" fillId="0" borderId="0" xfId="0" applyFont="1" applyFill="1" applyBorder="1" applyAlignment="1">
      <alignment horizontal="center" vertical="top" wrapText="1"/>
    </xf>
    <xf numFmtId="0" fontId="3" fillId="8" borderId="78" xfId="0" applyFont="1" applyFill="1" applyBorder="1" applyAlignment="1">
      <alignment horizontal="center" vertical="center" wrapText="1"/>
    </xf>
    <xf numFmtId="0" fontId="3" fillId="8" borderId="60"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4" fillId="7" borderId="65" xfId="0" applyFont="1" applyFill="1" applyBorder="1" applyAlignment="1">
      <alignment horizontal="center" vertical="center" wrapText="1"/>
    </xf>
    <xf numFmtId="0" fontId="4" fillId="8" borderId="81" xfId="0" applyFont="1" applyFill="1" applyBorder="1" applyAlignment="1">
      <alignment horizontal="center" vertical="center"/>
    </xf>
    <xf numFmtId="0" fontId="4" fillId="8" borderId="82" xfId="0" applyFont="1" applyFill="1" applyBorder="1" applyAlignment="1">
      <alignment horizontal="center" vertical="center"/>
    </xf>
    <xf numFmtId="0" fontId="4" fillId="8" borderId="83" xfId="0" applyFont="1" applyFill="1" applyBorder="1" applyAlignment="1">
      <alignment horizontal="center" vertical="center"/>
    </xf>
    <xf numFmtId="0" fontId="4" fillId="8" borderId="84" xfId="0" applyFont="1" applyFill="1" applyBorder="1" applyAlignment="1">
      <alignment horizontal="center" vertical="center"/>
    </xf>
    <xf numFmtId="0" fontId="18" fillId="0" borderId="28" xfId="0" applyFont="1" applyFill="1" applyBorder="1" applyAlignment="1" applyProtection="1">
      <alignment horizontal="left" wrapText="1"/>
      <protection locked="0"/>
    </xf>
    <xf numFmtId="0" fontId="5" fillId="3" borderId="0" xfId="0" applyFont="1" applyFill="1" applyAlignment="1">
      <alignment horizontal="left"/>
    </xf>
    <xf numFmtId="0" fontId="9" fillId="8" borderId="78" xfId="0" applyFont="1" applyFill="1" applyBorder="1" applyAlignment="1">
      <alignment horizontal="center"/>
    </xf>
    <xf numFmtId="0" fontId="9" fillId="8" borderId="60" xfId="0" applyFont="1" applyFill="1" applyBorder="1" applyAlignment="1">
      <alignment horizontal="center"/>
    </xf>
    <xf numFmtId="0" fontId="9" fillId="8" borderId="79" xfId="0" applyFont="1" applyFill="1" applyBorder="1" applyAlignment="1">
      <alignment horizontal="center"/>
    </xf>
    <xf numFmtId="0" fontId="3" fillId="8" borderId="79" xfId="0" applyFont="1" applyFill="1" applyBorder="1" applyAlignment="1">
      <alignment horizontal="center" vertical="center" wrapText="1"/>
    </xf>
    <xf numFmtId="0" fontId="9" fillId="7" borderId="78" xfId="0" applyFont="1" applyFill="1" applyBorder="1" applyAlignment="1" applyProtection="1">
      <alignment horizontal="center" vertical="center" wrapText="1"/>
    </xf>
    <xf numFmtId="0" fontId="9" fillId="7" borderId="60" xfId="0" applyFont="1" applyFill="1" applyBorder="1" applyAlignment="1" applyProtection="1">
      <alignment horizontal="center" vertical="center" wrapText="1"/>
    </xf>
    <xf numFmtId="0" fontId="9" fillId="7" borderId="79" xfId="0" applyFont="1" applyFill="1" applyBorder="1" applyAlignment="1" applyProtection="1">
      <alignment horizontal="center" vertical="center" wrapText="1"/>
    </xf>
    <xf numFmtId="0" fontId="0" fillId="7" borderId="60" xfId="0" applyFill="1" applyBorder="1" applyAlignment="1" applyProtection="1">
      <alignment horizontal="center" vertical="center"/>
    </xf>
    <xf numFmtId="0" fontId="0" fillId="7" borderId="79" xfId="0" applyFill="1" applyBorder="1" applyAlignment="1" applyProtection="1">
      <alignment horizontal="center" vertical="center"/>
    </xf>
    <xf numFmtId="0" fontId="0" fillId="7" borderId="60" xfId="0" applyFill="1" applyBorder="1" applyAlignment="1" applyProtection="1">
      <alignment wrapText="1"/>
    </xf>
    <xf numFmtId="0" fontId="0" fillId="7" borderId="79" xfId="0" applyFill="1" applyBorder="1" applyAlignment="1" applyProtection="1">
      <alignment wrapText="1"/>
    </xf>
    <xf numFmtId="0" fontId="4" fillId="6" borderId="85" xfId="0" applyFont="1" applyFill="1" applyBorder="1" applyAlignment="1" applyProtection="1">
      <alignment horizontal="left"/>
    </xf>
    <xf numFmtId="0" fontId="4" fillId="6" borderId="60" xfId="0" applyFont="1" applyFill="1" applyBorder="1" applyAlignment="1" applyProtection="1">
      <alignment horizontal="left"/>
    </xf>
    <xf numFmtId="0" fontId="4" fillId="6" borderId="79" xfId="0" applyFont="1" applyFill="1" applyBorder="1" applyAlignment="1" applyProtection="1">
      <alignment horizontal="left"/>
    </xf>
    <xf numFmtId="0" fontId="23" fillId="7" borderId="60" xfId="0" applyFont="1" applyFill="1" applyBorder="1" applyAlignment="1" applyProtection="1">
      <alignment horizontal="center" vertical="center" wrapText="1"/>
    </xf>
    <xf numFmtId="0" fontId="23" fillId="7" borderId="79" xfId="0" applyFont="1" applyFill="1" applyBorder="1" applyAlignment="1" applyProtection="1">
      <alignment horizontal="center" vertical="center" wrapText="1"/>
    </xf>
    <xf numFmtId="0" fontId="60" fillId="6" borderId="86" xfId="0" applyFont="1" applyFill="1" applyBorder="1" applyAlignment="1" applyProtection="1">
      <alignment horizontal="center"/>
    </xf>
    <xf numFmtId="0" fontId="5" fillId="3" borderId="0" xfId="0" applyFont="1" applyFill="1" applyBorder="1" applyAlignment="1" applyProtection="1"/>
    <xf numFmtId="0" fontId="1" fillId="3" borderId="0" xfId="0" applyFont="1" applyFill="1" applyBorder="1" applyAlignment="1" applyProtection="1"/>
    <xf numFmtId="0" fontId="21" fillId="3" borderId="0" xfId="0" applyFont="1" applyFill="1" applyBorder="1" applyAlignment="1" applyProtection="1">
      <alignment wrapText="1"/>
    </xf>
    <xf numFmtId="0" fontId="9" fillId="0" borderId="0" xfId="0" applyFont="1" applyFill="1" applyAlignment="1" applyProtection="1">
      <alignment horizontal="left" vertical="top" wrapText="1"/>
    </xf>
    <xf numFmtId="0" fontId="4" fillId="0" borderId="0" xfId="0" applyFont="1" applyFill="1" applyBorder="1" applyAlignment="1" applyProtection="1">
      <alignment horizontal="left" wrapText="1"/>
    </xf>
    <xf numFmtId="0" fontId="6" fillId="0" borderId="0" xfId="0" applyFont="1" applyFill="1" applyAlignment="1" applyProtection="1">
      <alignment horizontal="left" vertical="top" wrapText="1"/>
    </xf>
    <xf numFmtId="0" fontId="80" fillId="0" borderId="0" xfId="0" applyFont="1" applyFill="1" applyAlignment="1" applyProtection="1">
      <alignment horizontal="left" vertical="top" wrapText="1"/>
    </xf>
    <xf numFmtId="0" fontId="81" fillId="0" borderId="2" xfId="0" applyFont="1" applyFill="1" applyBorder="1" applyAlignment="1" applyProtection="1">
      <alignment horizontal="left" wrapText="1"/>
    </xf>
    <xf numFmtId="0" fontId="82" fillId="0" borderId="2" xfId="0" applyFont="1" applyBorder="1" applyAlignment="1"/>
    <xf numFmtId="0" fontId="3" fillId="0" borderId="87" xfId="0" applyFont="1" applyBorder="1" applyAlignment="1" applyProtection="1">
      <alignment horizontal="left" wrapText="1"/>
      <protection locked="0"/>
    </xf>
    <xf numFmtId="0" fontId="3" fillId="0" borderId="88" xfId="0" applyFont="1" applyBorder="1" applyAlignment="1" applyProtection="1">
      <alignment horizontal="left" wrapText="1"/>
      <protection locked="0"/>
    </xf>
    <xf numFmtId="0" fontId="3" fillId="0" borderId="89" xfId="0" applyFont="1" applyBorder="1" applyAlignment="1" applyProtection="1">
      <alignment horizontal="left" wrapText="1"/>
      <protection locked="0"/>
    </xf>
    <xf numFmtId="0" fontId="3" fillId="0" borderId="29" xfId="0" applyFont="1" applyBorder="1" applyAlignment="1" applyProtection="1">
      <alignment horizontal="left" wrapText="1"/>
      <protection locked="0"/>
    </xf>
    <xf numFmtId="0" fontId="3" fillId="0" borderId="27" xfId="0" applyFont="1" applyBorder="1" applyAlignment="1" applyProtection="1">
      <alignment horizontal="left" wrapText="1"/>
      <protection locked="0"/>
    </xf>
    <xf numFmtId="0" fontId="3" fillId="0" borderId="90" xfId="0" applyFont="1" applyBorder="1" applyAlignment="1" applyProtection="1">
      <alignment horizontal="left" wrapText="1"/>
      <protection locked="0"/>
    </xf>
    <xf numFmtId="0" fontId="0" fillId="7" borderId="60" xfId="0" applyFill="1" applyBorder="1" applyAlignment="1" applyProtection="1">
      <alignment horizontal="center" vertical="center" wrapText="1"/>
    </xf>
    <xf numFmtId="0" fontId="0" fillId="7" borderId="79" xfId="0" applyFill="1" applyBorder="1" applyAlignment="1" applyProtection="1">
      <alignment horizontal="center" vertical="center" wrapText="1"/>
    </xf>
    <xf numFmtId="0" fontId="1" fillId="0" borderId="0" xfId="0" applyFont="1" applyBorder="1" applyAlignment="1" applyProtection="1"/>
    <xf numFmtId="0" fontId="0" fillId="0" borderId="0" xfId="0" applyAlignment="1" applyProtection="1"/>
    <xf numFmtId="0" fontId="3" fillId="0" borderId="62" xfId="0" applyFont="1" applyBorder="1" applyAlignment="1" applyProtection="1">
      <alignment horizontal="left" wrapText="1"/>
      <protection locked="0"/>
    </xf>
    <xf numFmtId="0" fontId="3" fillId="0" borderId="55" xfId="0" applyFont="1" applyBorder="1" applyAlignment="1" applyProtection="1">
      <alignment horizontal="left" wrapText="1"/>
      <protection locked="0"/>
    </xf>
    <xf numFmtId="0" fontId="3" fillId="0" borderId="91" xfId="0" applyFont="1" applyBorder="1" applyAlignment="1" applyProtection="1">
      <alignment horizontal="left" wrapText="1"/>
      <protection locked="0"/>
    </xf>
    <xf numFmtId="0" fontId="9" fillId="18" borderId="78" xfId="0" applyFont="1" applyFill="1" applyBorder="1" applyAlignment="1" applyProtection="1">
      <alignment horizontal="center" vertical="center" wrapText="1"/>
    </xf>
    <xf numFmtId="0" fontId="9" fillId="18" borderId="60" xfId="0" applyFont="1" applyFill="1" applyBorder="1" applyAlignment="1" applyProtection="1">
      <alignment horizontal="center" vertical="center" wrapText="1"/>
    </xf>
    <xf numFmtId="0" fontId="9" fillId="18" borderId="79" xfId="0" applyFont="1" applyFill="1" applyBorder="1" applyAlignment="1" applyProtection="1">
      <alignment horizontal="center" vertical="center" wrapText="1"/>
    </xf>
    <xf numFmtId="0" fontId="10" fillId="18" borderId="81" xfId="0" applyFont="1" applyFill="1" applyBorder="1" applyAlignment="1" applyProtection="1">
      <alignment horizontal="center" vertical="center" wrapText="1"/>
    </xf>
    <xf numFmtId="0" fontId="0" fillId="18" borderId="28" xfId="0" applyFill="1" applyBorder="1" applyAlignment="1">
      <alignment horizontal="center" vertical="center" wrapText="1"/>
    </xf>
    <xf numFmtId="0" fontId="0" fillId="18" borderId="82" xfId="0" applyFill="1" applyBorder="1" applyAlignment="1">
      <alignment horizontal="center" vertical="center" wrapText="1"/>
    </xf>
    <xf numFmtId="0" fontId="0" fillId="18" borderId="52" xfId="0" applyFill="1" applyBorder="1" applyAlignment="1">
      <alignment horizontal="center" vertical="center" wrapText="1"/>
    </xf>
    <xf numFmtId="0" fontId="0" fillId="18" borderId="0" xfId="0" applyFill="1" applyBorder="1" applyAlignment="1">
      <alignment horizontal="center" vertical="center" wrapText="1"/>
    </xf>
    <xf numFmtId="0" fontId="0" fillId="18" borderId="24" xfId="0" applyFill="1" applyBorder="1" applyAlignment="1">
      <alignment horizontal="center" vertical="center" wrapText="1"/>
    </xf>
    <xf numFmtId="0" fontId="0" fillId="0" borderId="83" xfId="0" applyBorder="1" applyAlignment="1">
      <alignment horizontal="center" vertical="center" wrapText="1"/>
    </xf>
    <xf numFmtId="0" fontId="0" fillId="0" borderId="2" xfId="0" applyBorder="1" applyAlignment="1">
      <alignment horizontal="center" vertical="center" wrapText="1"/>
    </xf>
    <xf numFmtId="0" fontId="0" fillId="0" borderId="84" xfId="0" applyBorder="1" applyAlignment="1">
      <alignment horizontal="center" vertical="center" wrapText="1"/>
    </xf>
    <xf numFmtId="0" fontId="9" fillId="0" borderId="0" xfId="0" applyFont="1" applyFill="1" applyBorder="1" applyAlignment="1" applyProtection="1">
      <alignment horizontal="center" vertical="center" wrapText="1"/>
    </xf>
    <xf numFmtId="0" fontId="0" fillId="18" borderId="83" xfId="0" applyFill="1" applyBorder="1" applyAlignment="1">
      <alignment horizontal="center" vertical="center" wrapText="1"/>
    </xf>
    <xf numFmtId="0" fontId="0" fillId="18" borderId="2" xfId="0" applyFill="1" applyBorder="1" applyAlignment="1">
      <alignment horizontal="center" vertical="center" wrapText="1"/>
    </xf>
    <xf numFmtId="0" fontId="0" fillId="18" borderId="84" xfId="0" applyFill="1" applyBorder="1" applyAlignment="1">
      <alignment horizontal="center" vertical="center" wrapText="1"/>
    </xf>
    <xf numFmtId="0" fontId="10" fillId="18" borderId="78" xfId="0" applyFont="1" applyFill="1" applyBorder="1" applyAlignment="1">
      <alignment horizontal="center" vertical="center" wrapText="1"/>
    </xf>
    <xf numFmtId="0" fontId="0" fillId="18" borderId="60" xfId="0" applyFill="1" applyBorder="1" applyAlignment="1">
      <alignment horizontal="center" vertical="center" wrapText="1"/>
    </xf>
    <xf numFmtId="0" fontId="0" fillId="0" borderId="60" xfId="0" applyBorder="1" applyAlignment="1">
      <alignment horizontal="center" vertical="center" wrapText="1"/>
    </xf>
    <xf numFmtId="0" fontId="0" fillId="0" borderId="79" xfId="0" applyBorder="1" applyAlignment="1">
      <alignment horizontal="center" vertical="center" wrapText="1"/>
    </xf>
    <xf numFmtId="0" fontId="5" fillId="3" borderId="0" xfId="0" applyFont="1" applyFill="1" applyAlignment="1" applyProtection="1"/>
    <xf numFmtId="0" fontId="1" fillId="3" borderId="0" xfId="0" applyFont="1" applyFill="1" applyAlignment="1" applyProtection="1"/>
    <xf numFmtId="0" fontId="21" fillId="3" borderId="0" xfId="0" applyFont="1" applyFill="1" applyAlignment="1" applyProtection="1">
      <alignment wrapText="1"/>
    </xf>
    <xf numFmtId="0" fontId="83" fillId="0" borderId="0" xfId="0" applyFont="1" applyAlignment="1" applyProtection="1">
      <alignment wrapText="1"/>
    </xf>
    <xf numFmtId="0" fontId="78" fillId="0" borderId="0" xfId="0" applyFont="1" applyAlignment="1">
      <alignment wrapText="1"/>
    </xf>
    <xf numFmtId="0" fontId="10" fillId="18" borderId="78" xfId="0" applyFont="1" applyFill="1" applyBorder="1" applyAlignment="1" applyProtection="1">
      <alignment horizontal="center" vertical="center" wrapText="1"/>
    </xf>
    <xf numFmtId="0" fontId="0" fillId="18" borderId="79" xfId="0" applyFill="1" applyBorder="1" applyAlignment="1">
      <alignment horizontal="center" vertical="center" wrapText="1"/>
    </xf>
    <xf numFmtId="0" fontId="0" fillId="18" borderId="60" xfId="0" applyFill="1" applyBorder="1" applyAlignment="1">
      <alignment wrapText="1"/>
    </xf>
    <xf numFmtId="0" fontId="0" fillId="18" borderId="79" xfId="0" applyFill="1" applyBorder="1" applyAlignment="1">
      <alignment wrapText="1"/>
    </xf>
    <xf numFmtId="0" fontId="4" fillId="6" borderId="78" xfId="0" applyFont="1" applyFill="1" applyBorder="1" applyAlignment="1" applyProtection="1">
      <alignment horizontal="left"/>
    </xf>
    <xf numFmtId="0" fontId="0" fillId="0" borderId="60" xfId="0" applyBorder="1" applyAlignment="1" applyProtection="1">
      <alignment horizontal="left"/>
    </xf>
    <xf numFmtId="0" fontId="0" fillId="0" borderId="79" xfId="0" applyBorder="1" applyAlignment="1" applyProtection="1">
      <alignment horizontal="left"/>
    </xf>
    <xf numFmtId="0" fontId="3" fillId="0" borderId="27" xfId="0" applyFont="1" applyBorder="1" applyAlignment="1">
      <alignment horizontal="left" wrapText="1"/>
    </xf>
    <xf numFmtId="0" fontId="3" fillId="0" borderId="90" xfId="0" applyFont="1" applyBorder="1" applyAlignment="1">
      <alignment horizontal="left" wrapText="1"/>
    </xf>
    <xf numFmtId="0" fontId="3" fillId="0" borderId="55" xfId="0" applyFont="1" applyBorder="1" applyAlignment="1">
      <alignment horizontal="left" wrapText="1"/>
    </xf>
    <xf numFmtId="0" fontId="3" fillId="0" borderId="91" xfId="0" applyFont="1" applyBorder="1" applyAlignment="1">
      <alignment horizontal="left" wrapText="1"/>
    </xf>
    <xf numFmtId="0" fontId="0" fillId="0" borderId="27" xfId="0" applyBorder="1" applyAlignment="1">
      <alignment horizontal="left" wrapText="1"/>
    </xf>
    <xf numFmtId="0" fontId="0" fillId="0" borderId="90" xfId="0" applyBorder="1" applyAlignment="1">
      <alignment horizontal="left" wrapText="1"/>
    </xf>
    <xf numFmtId="0" fontId="9" fillId="0" borderId="0" xfId="2" applyFont="1" applyAlignment="1">
      <alignment horizontal="center" vertical="center" wrapText="1"/>
    </xf>
    <xf numFmtId="0" fontId="9" fillId="18" borderId="78" xfId="2" applyFont="1" applyFill="1" applyBorder="1" applyAlignment="1">
      <alignment horizontal="center" vertical="center" wrapText="1"/>
    </xf>
    <xf numFmtId="0" fontId="9" fillId="18" borderId="60" xfId="2" applyFont="1" applyFill="1" applyBorder="1" applyAlignment="1">
      <alignment horizontal="center" vertical="center" wrapText="1"/>
    </xf>
    <xf numFmtId="0" fontId="9" fillId="18" borderId="79" xfId="2" applyFont="1" applyFill="1" applyBorder="1" applyAlignment="1">
      <alignment horizontal="center" vertical="center" wrapText="1"/>
    </xf>
    <xf numFmtId="0" fontId="0" fillId="0" borderId="60" xfId="0" applyBorder="1" applyAlignment="1">
      <alignment wrapText="1"/>
    </xf>
    <xf numFmtId="0" fontId="0" fillId="0" borderId="79" xfId="0" applyBorder="1" applyAlignment="1">
      <alignment wrapText="1"/>
    </xf>
    <xf numFmtId="0" fontId="15" fillId="6" borderId="0" xfId="0" applyFont="1" applyFill="1" applyBorder="1" applyAlignment="1" applyProtection="1">
      <alignment horizontal="left"/>
    </xf>
    <xf numFmtId="0" fontId="9" fillId="14" borderId="78" xfId="0" applyFont="1" applyFill="1" applyBorder="1" applyAlignment="1" applyProtection="1">
      <alignment horizontal="center" vertical="center" wrapText="1"/>
    </xf>
    <xf numFmtId="0" fontId="9" fillId="14" borderId="60" xfId="0" applyFont="1" applyFill="1" applyBorder="1" applyAlignment="1" applyProtection="1">
      <alignment horizontal="center" vertical="center" wrapText="1"/>
    </xf>
    <xf numFmtId="0" fontId="9" fillId="14" borderId="79" xfId="0" applyFont="1" applyFill="1" applyBorder="1" applyAlignment="1" applyProtection="1">
      <alignment horizontal="center" vertical="center" wrapText="1"/>
    </xf>
    <xf numFmtId="0" fontId="9" fillId="14" borderId="81" xfId="0"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82" xfId="0" applyBorder="1" applyAlignment="1">
      <alignment horizontal="center" vertical="center" wrapText="1"/>
    </xf>
    <xf numFmtId="0" fontId="42" fillId="0" borderId="0" xfId="0" applyFont="1" applyFill="1" applyAlignment="1" applyProtection="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81" fillId="0" borderId="2" xfId="0" applyFont="1" applyBorder="1" applyAlignment="1" applyProtection="1">
      <alignment horizontal="left" wrapText="1"/>
    </xf>
    <xf numFmtId="0" fontId="0" fillId="14" borderId="28" xfId="0" applyFill="1" applyBorder="1" applyAlignment="1" applyProtection="1">
      <alignment horizontal="center" vertical="center"/>
    </xf>
    <xf numFmtId="0" fontId="0" fillId="0" borderId="82" xfId="0" applyBorder="1" applyAlignment="1">
      <alignment horizontal="center" vertical="center"/>
    </xf>
    <xf numFmtId="0" fontId="0" fillId="14" borderId="52" xfId="0" applyFill="1" applyBorder="1" applyAlignment="1" applyProtection="1">
      <alignment horizontal="center" vertical="center"/>
    </xf>
    <xf numFmtId="0" fontId="0" fillId="14" borderId="0" xfId="0" applyFill="1" applyBorder="1" applyAlignment="1" applyProtection="1">
      <alignment horizontal="center" vertical="center"/>
    </xf>
    <xf numFmtId="0" fontId="0" fillId="0" borderId="24" xfId="0" applyBorder="1" applyAlignment="1">
      <alignment horizontal="center" vertical="center"/>
    </xf>
    <xf numFmtId="0" fontId="0" fillId="0" borderId="83" xfId="0" applyBorder="1" applyAlignment="1">
      <alignment horizontal="center" vertical="center"/>
    </xf>
    <xf numFmtId="0" fontId="0" fillId="0" borderId="2" xfId="0" applyBorder="1" applyAlignment="1">
      <alignment horizontal="center" vertical="center"/>
    </xf>
    <xf numFmtId="0" fontId="0" fillId="0" borderId="84" xfId="0" applyBorder="1" applyAlignment="1">
      <alignment horizontal="center" vertical="center"/>
    </xf>
    <xf numFmtId="0" fontId="9" fillId="14" borderId="38" xfId="0" applyFont="1" applyFill="1" applyBorder="1" applyAlignment="1" applyProtection="1">
      <alignment horizontal="center" vertical="center" wrapText="1"/>
    </xf>
    <xf numFmtId="0" fontId="0" fillId="14" borderId="36" xfId="0" applyFill="1" applyBorder="1" applyAlignment="1" applyProtection="1">
      <alignment vertical="center" wrapText="1"/>
    </xf>
    <xf numFmtId="0" fontId="0" fillId="14" borderId="65" xfId="0" applyFill="1" applyBorder="1" applyAlignment="1" applyProtection="1">
      <alignment vertical="center" wrapText="1"/>
    </xf>
    <xf numFmtId="0" fontId="23" fillId="3" borderId="0" xfId="0" applyFont="1" applyFill="1" applyAlignment="1" applyProtection="1"/>
    <xf numFmtId="0" fontId="39" fillId="0" borderId="2" xfId="0" applyFont="1" applyBorder="1" applyAlignment="1" applyProtection="1">
      <alignment horizontal="right"/>
    </xf>
    <xf numFmtId="0" fontId="0" fillId="0" borderId="2" xfId="0" applyBorder="1" applyAlignment="1" applyProtection="1"/>
    <xf numFmtId="0" fontId="6" fillId="2" borderId="81" xfId="0" applyFont="1" applyFill="1" applyBorder="1" applyAlignment="1" applyProtection="1">
      <alignment horizontal="center" vertical="center" wrapText="1"/>
    </xf>
    <xf numFmtId="0" fontId="0" fillId="0" borderId="52"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9" fillId="2" borderId="78" xfId="0" applyFont="1" applyFill="1" applyBorder="1" applyAlignment="1" applyProtection="1">
      <alignment horizontal="center" vertical="center" wrapText="1"/>
    </xf>
    <xf numFmtId="0" fontId="9" fillId="2" borderId="60" xfId="0" applyFont="1" applyFill="1" applyBorder="1" applyAlignment="1" applyProtection="1">
      <alignment horizontal="center" vertical="center" wrapText="1"/>
    </xf>
    <xf numFmtId="0" fontId="9" fillId="2" borderId="79" xfId="0" applyFont="1" applyFill="1" applyBorder="1" applyAlignment="1" applyProtection="1">
      <alignment horizontal="center" vertical="center" wrapText="1"/>
    </xf>
    <xf numFmtId="0" fontId="5" fillId="3" borderId="0" xfId="0" applyFont="1" applyFill="1" applyAlignment="1"/>
    <xf numFmtId="0" fontId="23" fillId="3" borderId="0" xfId="0" applyFont="1" applyFill="1" applyAlignment="1"/>
    <xf numFmtId="0" fontId="4" fillId="6" borderId="78" xfId="0" applyFont="1" applyFill="1" applyBorder="1" applyAlignment="1">
      <alignment horizontal="left" wrapText="1"/>
    </xf>
    <xf numFmtId="0" fontId="4" fillId="6" borderId="60" xfId="0" applyFont="1" applyFill="1" applyBorder="1" applyAlignment="1">
      <alignment horizontal="left" wrapText="1"/>
    </xf>
    <xf numFmtId="0" fontId="4" fillId="6" borderId="79" xfId="0" applyFont="1" applyFill="1" applyBorder="1" applyAlignment="1">
      <alignment horizontal="left" wrapText="1"/>
    </xf>
    <xf numFmtId="0" fontId="4" fillId="6" borderId="78" xfId="0" applyFont="1" applyFill="1" applyBorder="1" applyAlignment="1" applyProtection="1">
      <alignment horizontal="left" wrapText="1"/>
      <protection locked="0"/>
    </xf>
    <xf numFmtId="0" fontId="4" fillId="6" borderId="60" xfId="0" applyFont="1" applyFill="1" applyBorder="1" applyAlignment="1" applyProtection="1">
      <alignment horizontal="left" wrapText="1"/>
      <protection locked="0"/>
    </xf>
    <xf numFmtId="0" fontId="4" fillId="6" borderId="79" xfId="0" applyFont="1" applyFill="1" applyBorder="1" applyAlignment="1" applyProtection="1">
      <alignment horizontal="left" wrapText="1"/>
      <protection locked="0"/>
    </xf>
    <xf numFmtId="0" fontId="9" fillId="0" borderId="78" xfId="0" applyFont="1" applyBorder="1" applyAlignment="1">
      <alignment horizontal="left" wrapText="1"/>
    </xf>
    <xf numFmtId="0" fontId="9" fillId="0" borderId="60" xfId="0" applyFont="1" applyBorder="1" applyAlignment="1">
      <alignment horizontal="left" wrapText="1"/>
    </xf>
    <xf numFmtId="0" fontId="9" fillId="0" borderId="79" xfId="0" applyFont="1" applyBorder="1" applyAlignment="1">
      <alignment horizontal="left" wrapText="1"/>
    </xf>
    <xf numFmtId="0" fontId="9" fillId="0" borderId="29" xfId="0" applyFont="1" applyBorder="1" applyAlignment="1" applyProtection="1">
      <alignment wrapText="1"/>
      <protection locked="0"/>
    </xf>
    <xf numFmtId="0" fontId="9" fillId="0" borderId="27" xfId="0" applyFont="1" applyBorder="1" applyAlignment="1" applyProtection="1">
      <alignment wrapText="1"/>
      <protection locked="0"/>
    </xf>
    <xf numFmtId="0" fontId="9" fillId="0" borderId="90" xfId="0" applyFont="1" applyBorder="1" applyAlignment="1" applyProtection="1">
      <alignment wrapText="1"/>
      <protection locked="0"/>
    </xf>
    <xf numFmtId="0" fontId="23" fillId="0" borderId="27" xfId="0" applyFont="1" applyBorder="1" applyAlignment="1" applyProtection="1">
      <alignment wrapText="1"/>
      <protection locked="0"/>
    </xf>
    <xf numFmtId="0" fontId="23" fillId="0" borderId="90" xfId="0" applyFont="1" applyBorder="1" applyAlignment="1" applyProtection="1">
      <alignment wrapText="1"/>
      <protection locked="0"/>
    </xf>
    <xf numFmtId="0" fontId="9" fillId="0" borderId="62" xfId="0" applyFont="1" applyBorder="1" applyAlignment="1" applyProtection="1">
      <alignment wrapText="1"/>
      <protection locked="0"/>
    </xf>
    <xf numFmtId="0" fontId="0" fillId="0" borderId="55" xfId="0" applyBorder="1" applyAlignment="1" applyProtection="1">
      <alignment wrapText="1"/>
      <protection locked="0"/>
    </xf>
    <xf numFmtId="0" fontId="0" fillId="0" borderId="91" xfId="0" applyBorder="1" applyAlignment="1" applyProtection="1">
      <alignment wrapText="1"/>
      <protection locked="0"/>
    </xf>
    <xf numFmtId="0" fontId="0" fillId="0" borderId="27" xfId="0" applyBorder="1" applyAlignment="1" applyProtection="1">
      <alignment wrapText="1"/>
      <protection locked="0"/>
    </xf>
    <xf numFmtId="0" fontId="0" fillId="0" borderId="90" xfId="0" applyBorder="1" applyAlignment="1" applyProtection="1">
      <alignment wrapText="1"/>
      <protection locked="0"/>
    </xf>
  </cellXfs>
  <cellStyles count="6">
    <cellStyle name="Normal" xfId="0" builtinId="0"/>
    <cellStyle name="Normal 2" xfId="1" xr:uid="{00000000-0005-0000-0000-000001000000}"/>
    <cellStyle name="Normal 3" xfId="2" xr:uid="{00000000-0005-0000-0000-000002000000}"/>
    <cellStyle name="Normal_lu_land_tot_21" xfId="3" xr:uid="{00000000-0005-0000-0000-000003000000}"/>
    <cellStyle name="Normal_Sheet1" xfId="4" xr:uid="{00000000-0005-0000-0000-000004000000}"/>
    <cellStyle name="Normal_Sheet1_1" xfId="5" xr:uid="{00000000-0005-0000-0000-000005000000}"/>
  </cellStyles>
  <dxfs count="279">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336550</xdr:colOff>
      <xdr:row>0</xdr:row>
      <xdr:rowOff>69850</xdr:rowOff>
    </xdr:from>
    <xdr:to>
      <xdr:col>10</xdr:col>
      <xdr:colOff>330200</xdr:colOff>
      <xdr:row>5</xdr:row>
      <xdr:rowOff>152400</xdr:rowOff>
    </xdr:to>
    <xdr:pic>
      <xdr:nvPicPr>
        <xdr:cNvPr id="1818" name="Picture 1">
          <a:extLst>
            <a:ext uri="{FF2B5EF4-FFF2-40B4-BE49-F238E27FC236}">
              <a16:creationId xmlns:a16="http://schemas.microsoft.com/office/drawing/2014/main" id="{E594F065-B5C4-44EB-B270-1E242F4C27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2300" y="69850"/>
          <a:ext cx="1174750"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127000</xdr:colOff>
      <xdr:row>0</xdr:row>
      <xdr:rowOff>50800</xdr:rowOff>
    </xdr:from>
    <xdr:to>
      <xdr:col>1</xdr:col>
      <xdr:colOff>920750</xdr:colOff>
      <xdr:row>5</xdr:row>
      <xdr:rowOff>12700</xdr:rowOff>
    </xdr:to>
    <xdr:pic>
      <xdr:nvPicPr>
        <xdr:cNvPr id="1819" name="Picture 5">
          <a:extLst>
            <a:ext uri="{FF2B5EF4-FFF2-40B4-BE49-F238E27FC236}">
              <a16:creationId xmlns:a16="http://schemas.microsoft.com/office/drawing/2014/main" id="{1F77AFF3-CAA6-4BAC-80DC-45B80AD145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0" y="50800"/>
          <a:ext cx="79375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44450</xdr:colOff>
      <xdr:row>12</xdr:row>
      <xdr:rowOff>222250</xdr:rowOff>
    </xdr:from>
    <xdr:to>
      <xdr:col>6</xdr:col>
      <xdr:colOff>12700</xdr:colOff>
      <xdr:row>12</xdr:row>
      <xdr:rowOff>222250</xdr:rowOff>
    </xdr:to>
    <xdr:sp macro="" textlink="">
      <xdr:nvSpPr>
        <xdr:cNvPr id="67190" name="Line 7">
          <a:extLst>
            <a:ext uri="{FF2B5EF4-FFF2-40B4-BE49-F238E27FC236}">
              <a16:creationId xmlns:a16="http://schemas.microsoft.com/office/drawing/2014/main" id="{E3C91F3D-2B3B-41D7-B7BA-FDE36BF7664F}"/>
            </a:ext>
          </a:extLst>
        </xdr:cNvPr>
        <xdr:cNvSpPr>
          <a:spLocks noChangeShapeType="1"/>
        </xdr:cNvSpPr>
      </xdr:nvSpPr>
      <xdr:spPr bwMode="auto">
        <a:xfrm flipV="1">
          <a:off x="1797050" y="3213100"/>
          <a:ext cx="11747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571500</xdr:colOff>
      <xdr:row>11</xdr:row>
      <xdr:rowOff>0</xdr:rowOff>
    </xdr:from>
    <xdr:to>
      <xdr:col>6</xdr:col>
      <xdr:colOff>571500</xdr:colOff>
      <xdr:row>12</xdr:row>
      <xdr:rowOff>0</xdr:rowOff>
    </xdr:to>
    <xdr:sp macro="" textlink="">
      <xdr:nvSpPr>
        <xdr:cNvPr id="67191" name="Line 8">
          <a:extLst>
            <a:ext uri="{FF2B5EF4-FFF2-40B4-BE49-F238E27FC236}">
              <a16:creationId xmlns:a16="http://schemas.microsoft.com/office/drawing/2014/main" id="{54C31DAC-7902-4308-9694-537217473F70}"/>
            </a:ext>
          </a:extLst>
        </xdr:cNvPr>
        <xdr:cNvSpPr>
          <a:spLocks noChangeShapeType="1"/>
        </xdr:cNvSpPr>
      </xdr:nvSpPr>
      <xdr:spPr bwMode="auto">
        <a:xfrm>
          <a:off x="3530600" y="2609850"/>
          <a:ext cx="0" cy="3810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203200</xdr:colOff>
      <xdr:row>21</xdr:row>
      <xdr:rowOff>266700</xdr:rowOff>
    </xdr:from>
    <xdr:to>
      <xdr:col>13</xdr:col>
      <xdr:colOff>209550</xdr:colOff>
      <xdr:row>27</xdr:row>
      <xdr:rowOff>381000</xdr:rowOff>
    </xdr:to>
    <xdr:sp macro="" textlink="">
      <xdr:nvSpPr>
        <xdr:cNvPr id="67192" name="Line 9">
          <a:extLst>
            <a:ext uri="{FF2B5EF4-FFF2-40B4-BE49-F238E27FC236}">
              <a16:creationId xmlns:a16="http://schemas.microsoft.com/office/drawing/2014/main" id="{24C2CD3E-CF3E-4728-80F6-51C888714950}"/>
            </a:ext>
          </a:extLst>
        </xdr:cNvPr>
        <xdr:cNvSpPr>
          <a:spLocks noChangeShapeType="1"/>
        </xdr:cNvSpPr>
      </xdr:nvSpPr>
      <xdr:spPr bwMode="auto">
        <a:xfrm flipH="1">
          <a:off x="10871200" y="6953250"/>
          <a:ext cx="6350" cy="21209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444500</xdr:colOff>
      <xdr:row>16</xdr:row>
      <xdr:rowOff>190500</xdr:rowOff>
    </xdr:from>
    <xdr:to>
      <xdr:col>11</xdr:col>
      <xdr:colOff>622300</xdr:colOff>
      <xdr:row>16</xdr:row>
      <xdr:rowOff>190500</xdr:rowOff>
    </xdr:to>
    <xdr:sp macro="" textlink="">
      <xdr:nvSpPr>
        <xdr:cNvPr id="67193" name="Line 10">
          <a:extLst>
            <a:ext uri="{FF2B5EF4-FFF2-40B4-BE49-F238E27FC236}">
              <a16:creationId xmlns:a16="http://schemas.microsoft.com/office/drawing/2014/main" id="{AD727C31-AD2B-4689-9D7C-5CBCDA278FF5}"/>
            </a:ext>
          </a:extLst>
        </xdr:cNvPr>
        <xdr:cNvSpPr>
          <a:spLocks noChangeShapeType="1"/>
        </xdr:cNvSpPr>
      </xdr:nvSpPr>
      <xdr:spPr bwMode="auto">
        <a:xfrm flipH="1" flipV="1">
          <a:off x="1009650" y="4368800"/>
          <a:ext cx="878840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12700</xdr:colOff>
      <xdr:row>12</xdr:row>
      <xdr:rowOff>203200</xdr:rowOff>
    </xdr:from>
    <xdr:to>
      <xdr:col>10</xdr:col>
      <xdr:colOff>336550</xdr:colOff>
      <xdr:row>12</xdr:row>
      <xdr:rowOff>222250</xdr:rowOff>
    </xdr:to>
    <xdr:sp macro="" textlink="">
      <xdr:nvSpPr>
        <xdr:cNvPr id="67194" name="Line 14">
          <a:extLst>
            <a:ext uri="{FF2B5EF4-FFF2-40B4-BE49-F238E27FC236}">
              <a16:creationId xmlns:a16="http://schemas.microsoft.com/office/drawing/2014/main" id="{760AD2E9-8D21-400E-8C5B-64370B7B9A28}"/>
            </a:ext>
          </a:extLst>
        </xdr:cNvPr>
        <xdr:cNvSpPr>
          <a:spLocks noChangeShapeType="1"/>
        </xdr:cNvSpPr>
      </xdr:nvSpPr>
      <xdr:spPr bwMode="auto">
        <a:xfrm flipV="1">
          <a:off x="4197350" y="3194050"/>
          <a:ext cx="4095750" cy="1905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19050</xdr:colOff>
      <xdr:row>21</xdr:row>
      <xdr:rowOff>317500</xdr:rowOff>
    </xdr:from>
    <xdr:to>
      <xdr:col>20</xdr:col>
      <xdr:colOff>19050</xdr:colOff>
      <xdr:row>33</xdr:row>
      <xdr:rowOff>292100</xdr:rowOff>
    </xdr:to>
    <xdr:sp macro="" textlink="">
      <xdr:nvSpPr>
        <xdr:cNvPr id="67195" name="Line 35">
          <a:extLst>
            <a:ext uri="{FF2B5EF4-FFF2-40B4-BE49-F238E27FC236}">
              <a16:creationId xmlns:a16="http://schemas.microsoft.com/office/drawing/2014/main" id="{8F9A40AF-7E0E-4B1B-8D1F-DA69706CE550}"/>
            </a:ext>
          </a:extLst>
        </xdr:cNvPr>
        <xdr:cNvSpPr>
          <a:spLocks noChangeShapeType="1"/>
        </xdr:cNvSpPr>
      </xdr:nvSpPr>
      <xdr:spPr bwMode="auto">
        <a:xfrm flipH="1" flipV="1">
          <a:off x="16287750" y="7004050"/>
          <a:ext cx="0" cy="417195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298450</xdr:colOff>
      <xdr:row>29</xdr:row>
      <xdr:rowOff>152400</xdr:rowOff>
    </xdr:from>
    <xdr:to>
      <xdr:col>12</xdr:col>
      <xdr:colOff>139700</xdr:colOff>
      <xdr:row>29</xdr:row>
      <xdr:rowOff>152400</xdr:rowOff>
    </xdr:to>
    <xdr:sp macro="" textlink="">
      <xdr:nvSpPr>
        <xdr:cNvPr id="67196" name="Line 49">
          <a:extLst>
            <a:ext uri="{FF2B5EF4-FFF2-40B4-BE49-F238E27FC236}">
              <a16:creationId xmlns:a16="http://schemas.microsoft.com/office/drawing/2014/main" id="{EACE61DD-7F34-4A29-97EA-9B9C7897F61C}"/>
            </a:ext>
          </a:extLst>
        </xdr:cNvPr>
        <xdr:cNvSpPr>
          <a:spLocks noChangeShapeType="1"/>
        </xdr:cNvSpPr>
      </xdr:nvSpPr>
      <xdr:spPr bwMode="auto">
        <a:xfrm flipV="1">
          <a:off x="10668000" y="953770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32</xdr:row>
      <xdr:rowOff>0</xdr:rowOff>
    </xdr:from>
    <xdr:to>
      <xdr:col>24</xdr:col>
      <xdr:colOff>0</xdr:colOff>
      <xdr:row>32</xdr:row>
      <xdr:rowOff>0</xdr:rowOff>
    </xdr:to>
    <xdr:sp macro="" textlink="">
      <xdr:nvSpPr>
        <xdr:cNvPr id="67197" name="Line 56">
          <a:extLst>
            <a:ext uri="{FF2B5EF4-FFF2-40B4-BE49-F238E27FC236}">
              <a16:creationId xmlns:a16="http://schemas.microsoft.com/office/drawing/2014/main" id="{1437FB39-CE2B-4797-B16E-9463CD3C4C0F}"/>
            </a:ext>
          </a:extLst>
        </xdr:cNvPr>
        <xdr:cNvSpPr>
          <a:spLocks noChangeShapeType="1"/>
        </xdr:cNvSpPr>
      </xdr:nvSpPr>
      <xdr:spPr bwMode="auto">
        <a:xfrm flipV="1">
          <a:off x="18751550" y="1071880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33</xdr:row>
      <xdr:rowOff>12700</xdr:rowOff>
    </xdr:from>
    <xdr:to>
      <xdr:col>24</xdr:col>
      <xdr:colOff>0</xdr:colOff>
      <xdr:row>33</xdr:row>
      <xdr:rowOff>12700</xdr:rowOff>
    </xdr:to>
    <xdr:sp macro="" textlink="">
      <xdr:nvSpPr>
        <xdr:cNvPr id="67198" name="Line 57">
          <a:extLst>
            <a:ext uri="{FF2B5EF4-FFF2-40B4-BE49-F238E27FC236}">
              <a16:creationId xmlns:a16="http://schemas.microsoft.com/office/drawing/2014/main" id="{A48F7922-8583-4DAD-ACA8-5729BF0CEEF8}"/>
            </a:ext>
          </a:extLst>
        </xdr:cNvPr>
        <xdr:cNvSpPr>
          <a:spLocks noChangeShapeType="1"/>
        </xdr:cNvSpPr>
      </xdr:nvSpPr>
      <xdr:spPr bwMode="auto">
        <a:xfrm>
          <a:off x="18751550" y="10896600"/>
          <a:ext cx="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12700</xdr:colOff>
      <xdr:row>21</xdr:row>
      <xdr:rowOff>279400</xdr:rowOff>
    </xdr:from>
    <xdr:to>
      <xdr:col>13</xdr:col>
      <xdr:colOff>209550</xdr:colOff>
      <xdr:row>21</xdr:row>
      <xdr:rowOff>279400</xdr:rowOff>
    </xdr:to>
    <xdr:sp macro="" textlink="">
      <xdr:nvSpPr>
        <xdr:cNvPr id="67199" name="Line 73">
          <a:extLst>
            <a:ext uri="{FF2B5EF4-FFF2-40B4-BE49-F238E27FC236}">
              <a16:creationId xmlns:a16="http://schemas.microsoft.com/office/drawing/2014/main" id="{9AB58046-C4AB-478C-AA16-37875E057451}"/>
            </a:ext>
          </a:extLst>
        </xdr:cNvPr>
        <xdr:cNvSpPr>
          <a:spLocks noChangeShapeType="1"/>
        </xdr:cNvSpPr>
      </xdr:nvSpPr>
      <xdr:spPr bwMode="auto">
        <a:xfrm flipV="1">
          <a:off x="10541000" y="6965950"/>
          <a:ext cx="3365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527050</xdr:colOff>
      <xdr:row>8</xdr:row>
      <xdr:rowOff>12700</xdr:rowOff>
    </xdr:from>
    <xdr:to>
      <xdr:col>6</xdr:col>
      <xdr:colOff>527050</xdr:colOff>
      <xdr:row>10</xdr:row>
      <xdr:rowOff>25400</xdr:rowOff>
    </xdr:to>
    <xdr:sp macro="" textlink="">
      <xdr:nvSpPr>
        <xdr:cNvPr id="67200" name="Line 202">
          <a:extLst>
            <a:ext uri="{FF2B5EF4-FFF2-40B4-BE49-F238E27FC236}">
              <a16:creationId xmlns:a16="http://schemas.microsoft.com/office/drawing/2014/main" id="{0F9DF08C-D210-4C58-B4D8-84BBBD8F17D8}"/>
            </a:ext>
          </a:extLst>
        </xdr:cNvPr>
        <xdr:cNvSpPr>
          <a:spLocks noChangeShapeType="1"/>
        </xdr:cNvSpPr>
      </xdr:nvSpPr>
      <xdr:spPr bwMode="auto">
        <a:xfrm>
          <a:off x="3486150" y="2038350"/>
          <a:ext cx="0" cy="2540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508000</xdr:colOff>
      <xdr:row>8</xdr:row>
      <xdr:rowOff>12700</xdr:rowOff>
    </xdr:from>
    <xdr:to>
      <xdr:col>7</xdr:col>
      <xdr:colOff>520700</xdr:colOff>
      <xdr:row>10</xdr:row>
      <xdr:rowOff>0</xdr:rowOff>
    </xdr:to>
    <xdr:sp macro="" textlink="">
      <xdr:nvSpPr>
        <xdr:cNvPr id="67201" name="Line 203">
          <a:extLst>
            <a:ext uri="{FF2B5EF4-FFF2-40B4-BE49-F238E27FC236}">
              <a16:creationId xmlns:a16="http://schemas.microsoft.com/office/drawing/2014/main" id="{F47FB808-CEB5-424D-85ED-22EDFEBDAED8}"/>
            </a:ext>
          </a:extLst>
        </xdr:cNvPr>
        <xdr:cNvSpPr>
          <a:spLocks noChangeShapeType="1"/>
        </xdr:cNvSpPr>
      </xdr:nvSpPr>
      <xdr:spPr bwMode="auto">
        <a:xfrm flipV="1">
          <a:off x="4692650" y="2038350"/>
          <a:ext cx="12700" cy="2286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241300</xdr:colOff>
      <xdr:row>23</xdr:row>
      <xdr:rowOff>222250</xdr:rowOff>
    </xdr:from>
    <xdr:to>
      <xdr:col>14</xdr:col>
      <xdr:colOff>158750</xdr:colOff>
      <xdr:row>23</xdr:row>
      <xdr:rowOff>222250</xdr:rowOff>
    </xdr:to>
    <xdr:sp macro="" textlink="">
      <xdr:nvSpPr>
        <xdr:cNvPr id="67202" name="Line 204">
          <a:extLst>
            <a:ext uri="{FF2B5EF4-FFF2-40B4-BE49-F238E27FC236}">
              <a16:creationId xmlns:a16="http://schemas.microsoft.com/office/drawing/2014/main" id="{3815CD47-F860-47B8-AF54-1F16CD8A16C4}"/>
            </a:ext>
          </a:extLst>
        </xdr:cNvPr>
        <xdr:cNvSpPr>
          <a:spLocks noChangeShapeType="1"/>
        </xdr:cNvSpPr>
      </xdr:nvSpPr>
      <xdr:spPr bwMode="auto">
        <a:xfrm flipV="1">
          <a:off x="10909300" y="7600950"/>
          <a:ext cx="4445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584200</xdr:colOff>
      <xdr:row>13</xdr:row>
      <xdr:rowOff>25400</xdr:rowOff>
    </xdr:from>
    <xdr:to>
      <xdr:col>6</xdr:col>
      <xdr:colOff>584200</xdr:colOff>
      <xdr:row>15</xdr:row>
      <xdr:rowOff>50800</xdr:rowOff>
    </xdr:to>
    <xdr:sp macro="" textlink="">
      <xdr:nvSpPr>
        <xdr:cNvPr id="67203" name="Line 205">
          <a:extLst>
            <a:ext uri="{FF2B5EF4-FFF2-40B4-BE49-F238E27FC236}">
              <a16:creationId xmlns:a16="http://schemas.microsoft.com/office/drawing/2014/main" id="{37AED66B-F2DC-4FF2-B97B-D85CB8023CC6}"/>
            </a:ext>
          </a:extLst>
        </xdr:cNvPr>
        <xdr:cNvSpPr>
          <a:spLocks noChangeShapeType="1"/>
        </xdr:cNvSpPr>
      </xdr:nvSpPr>
      <xdr:spPr bwMode="auto">
        <a:xfrm>
          <a:off x="3543300" y="3606800"/>
          <a:ext cx="0" cy="457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476250</xdr:colOff>
      <xdr:row>16</xdr:row>
      <xdr:rowOff>184150</xdr:rowOff>
    </xdr:from>
    <xdr:to>
      <xdr:col>4</xdr:col>
      <xdr:colOff>476250</xdr:colOff>
      <xdr:row>17</xdr:row>
      <xdr:rowOff>31750</xdr:rowOff>
    </xdr:to>
    <xdr:sp macro="" textlink="">
      <xdr:nvSpPr>
        <xdr:cNvPr id="67204" name="Line 206">
          <a:extLst>
            <a:ext uri="{FF2B5EF4-FFF2-40B4-BE49-F238E27FC236}">
              <a16:creationId xmlns:a16="http://schemas.microsoft.com/office/drawing/2014/main" id="{9ABE3651-5A19-4205-B695-6B3EE52757B2}"/>
            </a:ext>
          </a:extLst>
        </xdr:cNvPr>
        <xdr:cNvSpPr>
          <a:spLocks noChangeShapeType="1"/>
        </xdr:cNvSpPr>
      </xdr:nvSpPr>
      <xdr:spPr bwMode="auto">
        <a:xfrm>
          <a:off x="1041400" y="4362450"/>
          <a:ext cx="0" cy="3492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368300</xdr:colOff>
      <xdr:row>16</xdr:row>
      <xdr:rowOff>196850</xdr:rowOff>
    </xdr:from>
    <xdr:to>
      <xdr:col>5</xdr:col>
      <xdr:colOff>368300</xdr:colOff>
      <xdr:row>17</xdr:row>
      <xdr:rowOff>38100</xdr:rowOff>
    </xdr:to>
    <xdr:sp macro="" textlink="">
      <xdr:nvSpPr>
        <xdr:cNvPr id="67205" name="Line 207">
          <a:extLst>
            <a:ext uri="{FF2B5EF4-FFF2-40B4-BE49-F238E27FC236}">
              <a16:creationId xmlns:a16="http://schemas.microsoft.com/office/drawing/2014/main" id="{96B5ED90-C745-46C8-86F0-0E806C36414E}"/>
            </a:ext>
          </a:extLst>
        </xdr:cNvPr>
        <xdr:cNvSpPr>
          <a:spLocks noChangeShapeType="1"/>
        </xdr:cNvSpPr>
      </xdr:nvSpPr>
      <xdr:spPr bwMode="auto">
        <a:xfrm>
          <a:off x="2120900" y="4375150"/>
          <a:ext cx="0" cy="3429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457200</xdr:colOff>
      <xdr:row>16</xdr:row>
      <xdr:rowOff>196850</xdr:rowOff>
    </xdr:from>
    <xdr:to>
      <xdr:col>6</xdr:col>
      <xdr:colOff>457200</xdr:colOff>
      <xdr:row>17</xdr:row>
      <xdr:rowOff>76200</xdr:rowOff>
    </xdr:to>
    <xdr:sp macro="" textlink="">
      <xdr:nvSpPr>
        <xdr:cNvPr id="67206" name="Line 208">
          <a:extLst>
            <a:ext uri="{FF2B5EF4-FFF2-40B4-BE49-F238E27FC236}">
              <a16:creationId xmlns:a16="http://schemas.microsoft.com/office/drawing/2014/main" id="{5A2D6EC0-F770-41B9-B691-7E2264F86A6F}"/>
            </a:ext>
          </a:extLst>
        </xdr:cNvPr>
        <xdr:cNvSpPr>
          <a:spLocks noChangeShapeType="1"/>
        </xdr:cNvSpPr>
      </xdr:nvSpPr>
      <xdr:spPr bwMode="auto">
        <a:xfrm>
          <a:off x="3416300" y="4375150"/>
          <a:ext cx="0" cy="3810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577850</xdr:colOff>
      <xdr:row>16</xdr:row>
      <xdr:rowOff>196850</xdr:rowOff>
    </xdr:from>
    <xdr:to>
      <xdr:col>7</xdr:col>
      <xdr:colOff>577850</xdr:colOff>
      <xdr:row>17</xdr:row>
      <xdr:rowOff>38100</xdr:rowOff>
    </xdr:to>
    <xdr:sp macro="" textlink="">
      <xdr:nvSpPr>
        <xdr:cNvPr id="67207" name="Line 209">
          <a:extLst>
            <a:ext uri="{FF2B5EF4-FFF2-40B4-BE49-F238E27FC236}">
              <a16:creationId xmlns:a16="http://schemas.microsoft.com/office/drawing/2014/main" id="{79698F81-E111-4360-B98E-B29233645DD1}"/>
            </a:ext>
          </a:extLst>
        </xdr:cNvPr>
        <xdr:cNvSpPr>
          <a:spLocks noChangeShapeType="1"/>
        </xdr:cNvSpPr>
      </xdr:nvSpPr>
      <xdr:spPr bwMode="auto">
        <a:xfrm flipH="1">
          <a:off x="4762500" y="4375150"/>
          <a:ext cx="0" cy="3429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571500</xdr:colOff>
      <xdr:row>16</xdr:row>
      <xdr:rowOff>196850</xdr:rowOff>
    </xdr:from>
    <xdr:to>
      <xdr:col>10</xdr:col>
      <xdr:colOff>571500</xdr:colOff>
      <xdr:row>17</xdr:row>
      <xdr:rowOff>38100</xdr:rowOff>
    </xdr:to>
    <xdr:sp macro="" textlink="">
      <xdr:nvSpPr>
        <xdr:cNvPr id="67208" name="Line 210">
          <a:extLst>
            <a:ext uri="{FF2B5EF4-FFF2-40B4-BE49-F238E27FC236}">
              <a16:creationId xmlns:a16="http://schemas.microsoft.com/office/drawing/2014/main" id="{9BDBF5F4-A444-470D-AE5B-5BA14AC21C17}"/>
            </a:ext>
          </a:extLst>
        </xdr:cNvPr>
        <xdr:cNvSpPr>
          <a:spLocks noChangeShapeType="1"/>
        </xdr:cNvSpPr>
      </xdr:nvSpPr>
      <xdr:spPr bwMode="auto">
        <a:xfrm>
          <a:off x="8528050" y="4375150"/>
          <a:ext cx="0" cy="3429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622300</xdr:colOff>
      <xdr:row>16</xdr:row>
      <xdr:rowOff>190500</xdr:rowOff>
    </xdr:from>
    <xdr:to>
      <xdr:col>11</xdr:col>
      <xdr:colOff>622300</xdr:colOff>
      <xdr:row>17</xdr:row>
      <xdr:rowOff>38100</xdr:rowOff>
    </xdr:to>
    <xdr:sp macro="" textlink="">
      <xdr:nvSpPr>
        <xdr:cNvPr id="67209" name="Line 211">
          <a:extLst>
            <a:ext uri="{FF2B5EF4-FFF2-40B4-BE49-F238E27FC236}">
              <a16:creationId xmlns:a16="http://schemas.microsoft.com/office/drawing/2014/main" id="{299C6153-3B8D-466A-8659-61C6278C2D76}"/>
            </a:ext>
          </a:extLst>
        </xdr:cNvPr>
        <xdr:cNvSpPr>
          <a:spLocks noChangeShapeType="1"/>
        </xdr:cNvSpPr>
      </xdr:nvSpPr>
      <xdr:spPr bwMode="auto">
        <a:xfrm>
          <a:off x="9798050" y="4368800"/>
          <a:ext cx="0" cy="3492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488950</xdr:colOff>
      <xdr:row>17</xdr:row>
      <xdr:rowOff>1041400</xdr:rowOff>
    </xdr:from>
    <xdr:to>
      <xdr:col>4</xdr:col>
      <xdr:colOff>488950</xdr:colOff>
      <xdr:row>19</xdr:row>
      <xdr:rowOff>0</xdr:rowOff>
    </xdr:to>
    <xdr:sp macro="" textlink="">
      <xdr:nvSpPr>
        <xdr:cNvPr id="67210" name="Line 212">
          <a:extLst>
            <a:ext uri="{FF2B5EF4-FFF2-40B4-BE49-F238E27FC236}">
              <a16:creationId xmlns:a16="http://schemas.microsoft.com/office/drawing/2014/main" id="{EA9BE53E-506A-49DE-A114-A468A92DBF92}"/>
            </a:ext>
          </a:extLst>
        </xdr:cNvPr>
        <xdr:cNvSpPr>
          <a:spLocks noChangeShapeType="1"/>
        </xdr:cNvSpPr>
      </xdr:nvSpPr>
      <xdr:spPr bwMode="auto">
        <a:xfrm>
          <a:off x="1054100" y="5721350"/>
          <a:ext cx="0" cy="2222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400050</xdr:colOff>
      <xdr:row>17</xdr:row>
      <xdr:rowOff>1041400</xdr:rowOff>
    </xdr:from>
    <xdr:to>
      <xdr:col>5</xdr:col>
      <xdr:colOff>400050</xdr:colOff>
      <xdr:row>19</xdr:row>
      <xdr:rowOff>0</xdr:rowOff>
    </xdr:to>
    <xdr:sp macro="" textlink="">
      <xdr:nvSpPr>
        <xdr:cNvPr id="67211" name="Line 213">
          <a:extLst>
            <a:ext uri="{FF2B5EF4-FFF2-40B4-BE49-F238E27FC236}">
              <a16:creationId xmlns:a16="http://schemas.microsoft.com/office/drawing/2014/main" id="{174E81B4-C376-495C-9B72-C708D6CE8945}"/>
            </a:ext>
          </a:extLst>
        </xdr:cNvPr>
        <xdr:cNvSpPr>
          <a:spLocks noChangeShapeType="1"/>
        </xdr:cNvSpPr>
      </xdr:nvSpPr>
      <xdr:spPr bwMode="auto">
        <a:xfrm>
          <a:off x="2152650" y="5721350"/>
          <a:ext cx="0" cy="2222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463550</xdr:colOff>
      <xdr:row>17</xdr:row>
      <xdr:rowOff>1066800</xdr:rowOff>
    </xdr:from>
    <xdr:to>
      <xdr:col>6</xdr:col>
      <xdr:colOff>463550</xdr:colOff>
      <xdr:row>19</xdr:row>
      <xdr:rowOff>6350</xdr:rowOff>
    </xdr:to>
    <xdr:sp macro="" textlink="">
      <xdr:nvSpPr>
        <xdr:cNvPr id="67212" name="Line 214">
          <a:extLst>
            <a:ext uri="{FF2B5EF4-FFF2-40B4-BE49-F238E27FC236}">
              <a16:creationId xmlns:a16="http://schemas.microsoft.com/office/drawing/2014/main" id="{1E842A47-698F-443D-B10C-D98B9E57EEB4}"/>
            </a:ext>
          </a:extLst>
        </xdr:cNvPr>
        <xdr:cNvSpPr>
          <a:spLocks noChangeShapeType="1"/>
        </xdr:cNvSpPr>
      </xdr:nvSpPr>
      <xdr:spPr bwMode="auto">
        <a:xfrm>
          <a:off x="3422650" y="5746750"/>
          <a:ext cx="0" cy="203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609600</xdr:colOff>
      <xdr:row>17</xdr:row>
      <xdr:rowOff>1066800</xdr:rowOff>
    </xdr:from>
    <xdr:to>
      <xdr:col>7</xdr:col>
      <xdr:colOff>609600</xdr:colOff>
      <xdr:row>19</xdr:row>
      <xdr:rowOff>6350</xdr:rowOff>
    </xdr:to>
    <xdr:sp macro="" textlink="">
      <xdr:nvSpPr>
        <xdr:cNvPr id="67213" name="Line 215">
          <a:extLst>
            <a:ext uri="{FF2B5EF4-FFF2-40B4-BE49-F238E27FC236}">
              <a16:creationId xmlns:a16="http://schemas.microsoft.com/office/drawing/2014/main" id="{3371051E-C587-46AD-8E42-8ABF3510B29C}"/>
            </a:ext>
          </a:extLst>
        </xdr:cNvPr>
        <xdr:cNvSpPr>
          <a:spLocks noChangeShapeType="1"/>
        </xdr:cNvSpPr>
      </xdr:nvSpPr>
      <xdr:spPr bwMode="auto">
        <a:xfrm>
          <a:off x="4794250" y="5746750"/>
          <a:ext cx="0" cy="203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596900</xdr:colOff>
      <xdr:row>17</xdr:row>
      <xdr:rowOff>1066800</xdr:rowOff>
    </xdr:from>
    <xdr:to>
      <xdr:col>10</xdr:col>
      <xdr:colOff>596900</xdr:colOff>
      <xdr:row>19</xdr:row>
      <xdr:rowOff>6350</xdr:rowOff>
    </xdr:to>
    <xdr:sp macro="" textlink="">
      <xdr:nvSpPr>
        <xdr:cNvPr id="67214" name="Line 216">
          <a:extLst>
            <a:ext uri="{FF2B5EF4-FFF2-40B4-BE49-F238E27FC236}">
              <a16:creationId xmlns:a16="http://schemas.microsoft.com/office/drawing/2014/main" id="{8B19D548-F016-4DBF-8B6D-EE5A70AB0E98}"/>
            </a:ext>
          </a:extLst>
        </xdr:cNvPr>
        <xdr:cNvSpPr>
          <a:spLocks noChangeShapeType="1"/>
        </xdr:cNvSpPr>
      </xdr:nvSpPr>
      <xdr:spPr bwMode="auto">
        <a:xfrm flipH="1">
          <a:off x="8553450" y="5746750"/>
          <a:ext cx="0" cy="203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654050</xdr:colOff>
      <xdr:row>17</xdr:row>
      <xdr:rowOff>1066800</xdr:rowOff>
    </xdr:from>
    <xdr:to>
      <xdr:col>11</xdr:col>
      <xdr:colOff>654050</xdr:colOff>
      <xdr:row>19</xdr:row>
      <xdr:rowOff>6350</xdr:rowOff>
    </xdr:to>
    <xdr:sp macro="" textlink="">
      <xdr:nvSpPr>
        <xdr:cNvPr id="67215" name="Line 217">
          <a:extLst>
            <a:ext uri="{FF2B5EF4-FFF2-40B4-BE49-F238E27FC236}">
              <a16:creationId xmlns:a16="http://schemas.microsoft.com/office/drawing/2014/main" id="{CF75B812-ED6B-4F34-B40C-33BC8B86CEF6}"/>
            </a:ext>
          </a:extLst>
        </xdr:cNvPr>
        <xdr:cNvSpPr>
          <a:spLocks noChangeShapeType="1"/>
        </xdr:cNvSpPr>
      </xdr:nvSpPr>
      <xdr:spPr bwMode="auto">
        <a:xfrm>
          <a:off x="9829800" y="5746750"/>
          <a:ext cx="0" cy="203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23</xdr:row>
      <xdr:rowOff>304800</xdr:rowOff>
    </xdr:from>
    <xdr:to>
      <xdr:col>13</xdr:col>
      <xdr:colOff>209550</xdr:colOff>
      <xdr:row>23</xdr:row>
      <xdr:rowOff>304800</xdr:rowOff>
    </xdr:to>
    <xdr:sp macro="" textlink="">
      <xdr:nvSpPr>
        <xdr:cNvPr id="67216" name="Line 218">
          <a:extLst>
            <a:ext uri="{FF2B5EF4-FFF2-40B4-BE49-F238E27FC236}">
              <a16:creationId xmlns:a16="http://schemas.microsoft.com/office/drawing/2014/main" id="{E25613A6-9DCB-4521-B5FA-D8402605FA84}"/>
            </a:ext>
          </a:extLst>
        </xdr:cNvPr>
        <xdr:cNvSpPr>
          <a:spLocks noChangeShapeType="1"/>
        </xdr:cNvSpPr>
      </xdr:nvSpPr>
      <xdr:spPr bwMode="auto">
        <a:xfrm>
          <a:off x="10528300" y="7683500"/>
          <a:ext cx="3492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1339850</xdr:colOff>
      <xdr:row>25</xdr:row>
      <xdr:rowOff>260350</xdr:rowOff>
    </xdr:from>
    <xdr:to>
      <xdr:col>13</xdr:col>
      <xdr:colOff>222250</xdr:colOff>
      <xdr:row>25</xdr:row>
      <xdr:rowOff>260350</xdr:rowOff>
    </xdr:to>
    <xdr:sp macro="" textlink="">
      <xdr:nvSpPr>
        <xdr:cNvPr id="67217" name="Line 219">
          <a:extLst>
            <a:ext uri="{FF2B5EF4-FFF2-40B4-BE49-F238E27FC236}">
              <a16:creationId xmlns:a16="http://schemas.microsoft.com/office/drawing/2014/main" id="{54CC79DC-47D6-4C5F-81D9-3C015524584E}"/>
            </a:ext>
          </a:extLst>
        </xdr:cNvPr>
        <xdr:cNvSpPr>
          <a:spLocks noChangeShapeType="1"/>
        </xdr:cNvSpPr>
      </xdr:nvSpPr>
      <xdr:spPr bwMode="auto">
        <a:xfrm>
          <a:off x="10515600" y="8331200"/>
          <a:ext cx="3746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431800</xdr:colOff>
      <xdr:row>23</xdr:row>
      <xdr:rowOff>234950</xdr:rowOff>
    </xdr:from>
    <xdr:to>
      <xdr:col>16</xdr:col>
      <xdr:colOff>431800</xdr:colOff>
      <xdr:row>26</xdr:row>
      <xdr:rowOff>69850</xdr:rowOff>
    </xdr:to>
    <xdr:sp macro="" textlink="">
      <xdr:nvSpPr>
        <xdr:cNvPr id="67218" name="Line 223">
          <a:extLst>
            <a:ext uri="{FF2B5EF4-FFF2-40B4-BE49-F238E27FC236}">
              <a16:creationId xmlns:a16="http://schemas.microsoft.com/office/drawing/2014/main" id="{4652070D-71AE-455A-92F7-9DFFEB330ECF}"/>
            </a:ext>
          </a:extLst>
        </xdr:cNvPr>
        <xdr:cNvSpPr>
          <a:spLocks noChangeShapeType="1"/>
        </xdr:cNvSpPr>
      </xdr:nvSpPr>
      <xdr:spPr bwMode="auto">
        <a:xfrm>
          <a:off x="13309600" y="7613650"/>
          <a:ext cx="0" cy="104775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23</xdr:row>
      <xdr:rowOff>222250</xdr:rowOff>
    </xdr:from>
    <xdr:to>
      <xdr:col>17</xdr:col>
      <xdr:colOff>0</xdr:colOff>
      <xdr:row>23</xdr:row>
      <xdr:rowOff>222250</xdr:rowOff>
    </xdr:to>
    <xdr:sp macro="" textlink="">
      <xdr:nvSpPr>
        <xdr:cNvPr id="67219" name="Line 224">
          <a:extLst>
            <a:ext uri="{FF2B5EF4-FFF2-40B4-BE49-F238E27FC236}">
              <a16:creationId xmlns:a16="http://schemas.microsoft.com/office/drawing/2014/main" id="{7C8DDCB8-3371-47EC-8C65-4BE003B603A1}"/>
            </a:ext>
          </a:extLst>
        </xdr:cNvPr>
        <xdr:cNvSpPr>
          <a:spLocks noChangeShapeType="1"/>
        </xdr:cNvSpPr>
      </xdr:nvSpPr>
      <xdr:spPr bwMode="auto">
        <a:xfrm flipV="1">
          <a:off x="12896850" y="7600950"/>
          <a:ext cx="8572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12700</xdr:colOff>
      <xdr:row>23</xdr:row>
      <xdr:rowOff>190500</xdr:rowOff>
    </xdr:from>
    <xdr:to>
      <xdr:col>20</xdr:col>
      <xdr:colOff>44450</xdr:colOff>
      <xdr:row>23</xdr:row>
      <xdr:rowOff>190500</xdr:rowOff>
    </xdr:to>
    <xdr:sp macro="" textlink="">
      <xdr:nvSpPr>
        <xdr:cNvPr id="67220" name="Line 230">
          <a:extLst>
            <a:ext uri="{FF2B5EF4-FFF2-40B4-BE49-F238E27FC236}">
              <a16:creationId xmlns:a16="http://schemas.microsoft.com/office/drawing/2014/main" id="{29E141D3-C4E6-4B5A-B92C-FDAD4E0D5F22}"/>
            </a:ext>
          </a:extLst>
        </xdr:cNvPr>
        <xdr:cNvSpPr>
          <a:spLocks noChangeShapeType="1"/>
        </xdr:cNvSpPr>
      </xdr:nvSpPr>
      <xdr:spPr bwMode="auto">
        <a:xfrm flipV="1">
          <a:off x="14973300" y="7569200"/>
          <a:ext cx="13398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12700</xdr:colOff>
      <xdr:row>25</xdr:row>
      <xdr:rowOff>266700</xdr:rowOff>
    </xdr:from>
    <xdr:to>
      <xdr:col>21</xdr:col>
      <xdr:colOff>0</xdr:colOff>
      <xdr:row>25</xdr:row>
      <xdr:rowOff>266700</xdr:rowOff>
    </xdr:to>
    <xdr:sp macro="" textlink="">
      <xdr:nvSpPr>
        <xdr:cNvPr id="67221" name="Line 231">
          <a:extLst>
            <a:ext uri="{FF2B5EF4-FFF2-40B4-BE49-F238E27FC236}">
              <a16:creationId xmlns:a16="http://schemas.microsoft.com/office/drawing/2014/main" id="{656A5EC2-8551-4B47-BB20-D21C7DD901A5}"/>
            </a:ext>
          </a:extLst>
        </xdr:cNvPr>
        <xdr:cNvSpPr>
          <a:spLocks noChangeShapeType="1"/>
        </xdr:cNvSpPr>
      </xdr:nvSpPr>
      <xdr:spPr bwMode="auto">
        <a:xfrm>
          <a:off x="16281400" y="8337550"/>
          <a:ext cx="355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19050</xdr:colOff>
      <xdr:row>29</xdr:row>
      <xdr:rowOff>279400</xdr:rowOff>
    </xdr:from>
    <xdr:to>
      <xdr:col>20</xdr:col>
      <xdr:colOff>368300</xdr:colOff>
      <xdr:row>29</xdr:row>
      <xdr:rowOff>279400</xdr:rowOff>
    </xdr:to>
    <xdr:sp macro="" textlink="">
      <xdr:nvSpPr>
        <xdr:cNvPr id="67222" name="Line 232">
          <a:extLst>
            <a:ext uri="{FF2B5EF4-FFF2-40B4-BE49-F238E27FC236}">
              <a16:creationId xmlns:a16="http://schemas.microsoft.com/office/drawing/2014/main" id="{FB4A1779-5C74-4A95-B4E2-546EA76D5F86}"/>
            </a:ext>
          </a:extLst>
        </xdr:cNvPr>
        <xdr:cNvSpPr>
          <a:spLocks noChangeShapeType="1"/>
        </xdr:cNvSpPr>
      </xdr:nvSpPr>
      <xdr:spPr bwMode="auto">
        <a:xfrm>
          <a:off x="16287750" y="9664700"/>
          <a:ext cx="3492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19050</xdr:colOff>
      <xdr:row>33</xdr:row>
      <xdr:rowOff>279400</xdr:rowOff>
    </xdr:from>
    <xdr:to>
      <xdr:col>21</xdr:col>
      <xdr:colOff>0</xdr:colOff>
      <xdr:row>33</xdr:row>
      <xdr:rowOff>279400</xdr:rowOff>
    </xdr:to>
    <xdr:sp macro="" textlink="">
      <xdr:nvSpPr>
        <xdr:cNvPr id="67223" name="Line 233">
          <a:extLst>
            <a:ext uri="{FF2B5EF4-FFF2-40B4-BE49-F238E27FC236}">
              <a16:creationId xmlns:a16="http://schemas.microsoft.com/office/drawing/2014/main" id="{C179E545-B6BA-4ED7-835D-60725391B4F0}"/>
            </a:ext>
          </a:extLst>
        </xdr:cNvPr>
        <xdr:cNvSpPr>
          <a:spLocks noChangeShapeType="1"/>
        </xdr:cNvSpPr>
      </xdr:nvSpPr>
      <xdr:spPr bwMode="auto">
        <a:xfrm>
          <a:off x="16287750" y="11163300"/>
          <a:ext cx="3492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209550</xdr:colOff>
      <xdr:row>16</xdr:row>
      <xdr:rowOff>0</xdr:rowOff>
    </xdr:from>
    <xdr:to>
      <xdr:col>7</xdr:col>
      <xdr:colOff>209550</xdr:colOff>
      <xdr:row>16</xdr:row>
      <xdr:rowOff>184150</xdr:rowOff>
    </xdr:to>
    <xdr:sp macro="" textlink="">
      <xdr:nvSpPr>
        <xdr:cNvPr id="67224" name="Line 247">
          <a:extLst>
            <a:ext uri="{FF2B5EF4-FFF2-40B4-BE49-F238E27FC236}">
              <a16:creationId xmlns:a16="http://schemas.microsoft.com/office/drawing/2014/main" id="{B9A4E48B-BAE9-4637-8E68-059712423BB1}"/>
            </a:ext>
          </a:extLst>
        </xdr:cNvPr>
        <xdr:cNvSpPr>
          <a:spLocks noChangeShapeType="1"/>
        </xdr:cNvSpPr>
      </xdr:nvSpPr>
      <xdr:spPr bwMode="auto">
        <a:xfrm flipH="1" flipV="1">
          <a:off x="4394200" y="4178300"/>
          <a:ext cx="0" cy="18415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23</xdr:row>
      <xdr:rowOff>304800</xdr:rowOff>
    </xdr:from>
    <xdr:to>
      <xdr:col>21</xdr:col>
      <xdr:colOff>12700</xdr:colOff>
      <xdr:row>23</xdr:row>
      <xdr:rowOff>311150</xdr:rowOff>
    </xdr:to>
    <xdr:sp macro="" textlink="">
      <xdr:nvSpPr>
        <xdr:cNvPr id="67225" name="Line 248">
          <a:extLst>
            <a:ext uri="{FF2B5EF4-FFF2-40B4-BE49-F238E27FC236}">
              <a16:creationId xmlns:a16="http://schemas.microsoft.com/office/drawing/2014/main" id="{7E6DB61E-3CCB-4C4B-ADF4-EF340432696F}"/>
            </a:ext>
          </a:extLst>
        </xdr:cNvPr>
        <xdr:cNvSpPr>
          <a:spLocks noChangeShapeType="1"/>
        </xdr:cNvSpPr>
      </xdr:nvSpPr>
      <xdr:spPr bwMode="auto">
        <a:xfrm flipV="1">
          <a:off x="16287750" y="7683500"/>
          <a:ext cx="361950" cy="63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330200</xdr:colOff>
      <xdr:row>11</xdr:row>
      <xdr:rowOff>152400</xdr:rowOff>
    </xdr:from>
    <xdr:to>
      <xdr:col>10</xdr:col>
      <xdr:colOff>1187450</xdr:colOff>
      <xdr:row>11</xdr:row>
      <xdr:rowOff>152400</xdr:rowOff>
    </xdr:to>
    <xdr:sp macro="" textlink="">
      <xdr:nvSpPr>
        <xdr:cNvPr id="67226" name="Line 14">
          <a:extLst>
            <a:ext uri="{FF2B5EF4-FFF2-40B4-BE49-F238E27FC236}">
              <a16:creationId xmlns:a16="http://schemas.microsoft.com/office/drawing/2014/main" id="{446D7F69-CEB6-4DDE-971D-431AB5E33B3E}"/>
            </a:ext>
          </a:extLst>
        </xdr:cNvPr>
        <xdr:cNvSpPr>
          <a:spLocks noChangeShapeType="1"/>
        </xdr:cNvSpPr>
      </xdr:nvSpPr>
      <xdr:spPr bwMode="auto">
        <a:xfrm flipV="1">
          <a:off x="8286750" y="2762250"/>
          <a:ext cx="85725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330200</xdr:colOff>
      <xdr:row>11</xdr:row>
      <xdr:rowOff>146050</xdr:rowOff>
    </xdr:from>
    <xdr:to>
      <xdr:col>10</xdr:col>
      <xdr:colOff>330200</xdr:colOff>
      <xdr:row>13</xdr:row>
      <xdr:rowOff>177800</xdr:rowOff>
    </xdr:to>
    <xdr:sp macro="" textlink="">
      <xdr:nvSpPr>
        <xdr:cNvPr id="67227" name="Line 14">
          <a:extLst>
            <a:ext uri="{FF2B5EF4-FFF2-40B4-BE49-F238E27FC236}">
              <a16:creationId xmlns:a16="http://schemas.microsoft.com/office/drawing/2014/main" id="{240E77E5-CA36-430E-BAD9-36AECAA1DD39}"/>
            </a:ext>
          </a:extLst>
        </xdr:cNvPr>
        <xdr:cNvSpPr>
          <a:spLocks noChangeShapeType="1"/>
        </xdr:cNvSpPr>
      </xdr:nvSpPr>
      <xdr:spPr bwMode="auto">
        <a:xfrm flipV="1">
          <a:off x="8286750" y="2755900"/>
          <a:ext cx="0" cy="100330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336550</xdr:colOff>
      <xdr:row>13</xdr:row>
      <xdr:rowOff>165100</xdr:rowOff>
    </xdr:from>
    <xdr:to>
      <xdr:col>10</xdr:col>
      <xdr:colOff>1193800</xdr:colOff>
      <xdr:row>13</xdr:row>
      <xdr:rowOff>165100</xdr:rowOff>
    </xdr:to>
    <xdr:sp macro="" textlink="">
      <xdr:nvSpPr>
        <xdr:cNvPr id="67228" name="Line 14">
          <a:extLst>
            <a:ext uri="{FF2B5EF4-FFF2-40B4-BE49-F238E27FC236}">
              <a16:creationId xmlns:a16="http://schemas.microsoft.com/office/drawing/2014/main" id="{C4473A50-062F-4A57-8B2D-FB4FB3266653}"/>
            </a:ext>
          </a:extLst>
        </xdr:cNvPr>
        <xdr:cNvSpPr>
          <a:spLocks noChangeShapeType="1"/>
        </xdr:cNvSpPr>
      </xdr:nvSpPr>
      <xdr:spPr bwMode="auto">
        <a:xfrm flipV="1">
          <a:off x="8293100" y="3746500"/>
          <a:ext cx="85725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577850</xdr:colOff>
      <xdr:row>71</xdr:row>
      <xdr:rowOff>133350</xdr:rowOff>
    </xdr:from>
    <xdr:to>
      <xdr:col>42</xdr:col>
      <xdr:colOff>12700</xdr:colOff>
      <xdr:row>71</xdr:row>
      <xdr:rowOff>133350</xdr:rowOff>
    </xdr:to>
    <xdr:sp macro="" textlink="">
      <xdr:nvSpPr>
        <xdr:cNvPr id="67229" name="Line 231">
          <a:extLst>
            <a:ext uri="{FF2B5EF4-FFF2-40B4-BE49-F238E27FC236}">
              <a16:creationId xmlns:a16="http://schemas.microsoft.com/office/drawing/2014/main" id="{B2E85A44-FD5F-4E8B-AD61-6133B82816AD}"/>
            </a:ext>
          </a:extLst>
        </xdr:cNvPr>
        <xdr:cNvSpPr>
          <a:spLocks noChangeShapeType="1"/>
        </xdr:cNvSpPr>
      </xdr:nvSpPr>
      <xdr:spPr bwMode="auto">
        <a:xfrm flipV="1">
          <a:off x="28911550" y="17646650"/>
          <a:ext cx="2984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19050</xdr:colOff>
      <xdr:row>21</xdr:row>
      <xdr:rowOff>330200</xdr:rowOff>
    </xdr:from>
    <xdr:to>
      <xdr:col>21</xdr:col>
      <xdr:colOff>12700</xdr:colOff>
      <xdr:row>21</xdr:row>
      <xdr:rowOff>342900</xdr:rowOff>
    </xdr:to>
    <xdr:sp macro="" textlink="">
      <xdr:nvSpPr>
        <xdr:cNvPr id="67230" name="Line 248">
          <a:extLst>
            <a:ext uri="{FF2B5EF4-FFF2-40B4-BE49-F238E27FC236}">
              <a16:creationId xmlns:a16="http://schemas.microsoft.com/office/drawing/2014/main" id="{4BA62D32-C13A-449D-B923-98FCDF8C31F2}"/>
            </a:ext>
          </a:extLst>
        </xdr:cNvPr>
        <xdr:cNvSpPr>
          <a:spLocks noChangeShapeType="1"/>
        </xdr:cNvSpPr>
      </xdr:nvSpPr>
      <xdr:spPr bwMode="auto">
        <a:xfrm flipV="1">
          <a:off x="16287750" y="7016750"/>
          <a:ext cx="361950" cy="127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44450</xdr:colOff>
      <xdr:row>31</xdr:row>
      <xdr:rowOff>254000</xdr:rowOff>
    </xdr:from>
    <xdr:to>
      <xdr:col>21</xdr:col>
      <xdr:colOff>12700</xdr:colOff>
      <xdr:row>31</xdr:row>
      <xdr:rowOff>254000</xdr:rowOff>
    </xdr:to>
    <xdr:sp macro="" textlink="">
      <xdr:nvSpPr>
        <xdr:cNvPr id="67231" name="Line 232">
          <a:extLst>
            <a:ext uri="{FF2B5EF4-FFF2-40B4-BE49-F238E27FC236}">
              <a16:creationId xmlns:a16="http://schemas.microsoft.com/office/drawing/2014/main" id="{2246B48F-FD03-4621-BB1D-4A0B01D15E41}"/>
            </a:ext>
          </a:extLst>
        </xdr:cNvPr>
        <xdr:cNvSpPr>
          <a:spLocks noChangeShapeType="1"/>
        </xdr:cNvSpPr>
      </xdr:nvSpPr>
      <xdr:spPr bwMode="auto">
        <a:xfrm>
          <a:off x="16313150" y="10414000"/>
          <a:ext cx="3365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622300</xdr:colOff>
      <xdr:row>16</xdr:row>
      <xdr:rowOff>184150</xdr:rowOff>
    </xdr:from>
    <xdr:to>
      <xdr:col>8</xdr:col>
      <xdr:colOff>635000</xdr:colOff>
      <xdr:row>17</xdr:row>
      <xdr:rowOff>31750</xdr:rowOff>
    </xdr:to>
    <xdr:sp macro="" textlink="">
      <xdr:nvSpPr>
        <xdr:cNvPr id="67232" name="Line 209">
          <a:extLst>
            <a:ext uri="{FF2B5EF4-FFF2-40B4-BE49-F238E27FC236}">
              <a16:creationId xmlns:a16="http://schemas.microsoft.com/office/drawing/2014/main" id="{DB63C557-FA28-4F63-9932-141325C32D95}"/>
            </a:ext>
          </a:extLst>
        </xdr:cNvPr>
        <xdr:cNvSpPr>
          <a:spLocks noChangeShapeType="1"/>
        </xdr:cNvSpPr>
      </xdr:nvSpPr>
      <xdr:spPr bwMode="auto">
        <a:xfrm flipH="1">
          <a:off x="6064250" y="4362450"/>
          <a:ext cx="12700" cy="3492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635000</xdr:colOff>
      <xdr:row>16</xdr:row>
      <xdr:rowOff>184150</xdr:rowOff>
    </xdr:from>
    <xdr:to>
      <xdr:col>9</xdr:col>
      <xdr:colOff>647700</xdr:colOff>
      <xdr:row>17</xdr:row>
      <xdr:rowOff>31750</xdr:rowOff>
    </xdr:to>
    <xdr:sp macro="" textlink="">
      <xdr:nvSpPr>
        <xdr:cNvPr id="67233" name="Line 209">
          <a:extLst>
            <a:ext uri="{FF2B5EF4-FFF2-40B4-BE49-F238E27FC236}">
              <a16:creationId xmlns:a16="http://schemas.microsoft.com/office/drawing/2014/main" id="{042EE7AD-D1D4-4DDC-A837-68D1A1B3A5B1}"/>
            </a:ext>
          </a:extLst>
        </xdr:cNvPr>
        <xdr:cNvSpPr>
          <a:spLocks noChangeShapeType="1"/>
        </xdr:cNvSpPr>
      </xdr:nvSpPr>
      <xdr:spPr bwMode="auto">
        <a:xfrm flipH="1">
          <a:off x="7334250" y="4362450"/>
          <a:ext cx="12700" cy="3492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609600</xdr:colOff>
      <xdr:row>17</xdr:row>
      <xdr:rowOff>1066800</xdr:rowOff>
    </xdr:from>
    <xdr:to>
      <xdr:col>8</xdr:col>
      <xdr:colOff>609600</xdr:colOff>
      <xdr:row>19</xdr:row>
      <xdr:rowOff>6350</xdr:rowOff>
    </xdr:to>
    <xdr:sp macro="" textlink="">
      <xdr:nvSpPr>
        <xdr:cNvPr id="67234" name="Line 215">
          <a:extLst>
            <a:ext uri="{FF2B5EF4-FFF2-40B4-BE49-F238E27FC236}">
              <a16:creationId xmlns:a16="http://schemas.microsoft.com/office/drawing/2014/main" id="{40A5E7A0-D530-4723-B40C-61EA51A62223}"/>
            </a:ext>
          </a:extLst>
        </xdr:cNvPr>
        <xdr:cNvSpPr>
          <a:spLocks noChangeShapeType="1"/>
        </xdr:cNvSpPr>
      </xdr:nvSpPr>
      <xdr:spPr bwMode="auto">
        <a:xfrm>
          <a:off x="6051550" y="5746750"/>
          <a:ext cx="0" cy="203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647700</xdr:colOff>
      <xdr:row>17</xdr:row>
      <xdr:rowOff>1066800</xdr:rowOff>
    </xdr:from>
    <xdr:to>
      <xdr:col>9</xdr:col>
      <xdr:colOff>647700</xdr:colOff>
      <xdr:row>19</xdr:row>
      <xdr:rowOff>31750</xdr:rowOff>
    </xdr:to>
    <xdr:sp macro="" textlink="">
      <xdr:nvSpPr>
        <xdr:cNvPr id="67235" name="Line 215">
          <a:extLst>
            <a:ext uri="{FF2B5EF4-FFF2-40B4-BE49-F238E27FC236}">
              <a16:creationId xmlns:a16="http://schemas.microsoft.com/office/drawing/2014/main" id="{AF539F27-2DFC-412A-AFA1-22E268A354E0}"/>
            </a:ext>
          </a:extLst>
        </xdr:cNvPr>
        <xdr:cNvSpPr>
          <a:spLocks noChangeShapeType="1"/>
        </xdr:cNvSpPr>
      </xdr:nvSpPr>
      <xdr:spPr bwMode="auto">
        <a:xfrm>
          <a:off x="7346950" y="5746750"/>
          <a:ext cx="0" cy="2286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927100</xdr:colOff>
      <xdr:row>20</xdr:row>
      <xdr:rowOff>0</xdr:rowOff>
    </xdr:from>
    <xdr:to>
      <xdr:col>6</xdr:col>
      <xdr:colOff>927100</xdr:colOff>
      <xdr:row>21</xdr:row>
      <xdr:rowOff>165100</xdr:rowOff>
    </xdr:to>
    <xdr:sp macro="" textlink="">
      <xdr:nvSpPr>
        <xdr:cNvPr id="67236" name="Line 9">
          <a:extLst>
            <a:ext uri="{FF2B5EF4-FFF2-40B4-BE49-F238E27FC236}">
              <a16:creationId xmlns:a16="http://schemas.microsoft.com/office/drawing/2014/main" id="{FE86E449-AE49-4F92-A17F-C7DD82B6CC18}"/>
            </a:ext>
          </a:extLst>
        </xdr:cNvPr>
        <xdr:cNvSpPr>
          <a:spLocks noChangeShapeType="1"/>
        </xdr:cNvSpPr>
      </xdr:nvSpPr>
      <xdr:spPr bwMode="auto">
        <a:xfrm>
          <a:off x="3886200" y="6515100"/>
          <a:ext cx="0" cy="33655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927100</xdr:colOff>
      <xdr:row>21</xdr:row>
      <xdr:rowOff>146050</xdr:rowOff>
    </xdr:from>
    <xdr:to>
      <xdr:col>10</xdr:col>
      <xdr:colOff>19050</xdr:colOff>
      <xdr:row>21</xdr:row>
      <xdr:rowOff>152400</xdr:rowOff>
    </xdr:to>
    <xdr:sp macro="" textlink="">
      <xdr:nvSpPr>
        <xdr:cNvPr id="67237" name="Line 73">
          <a:extLst>
            <a:ext uri="{FF2B5EF4-FFF2-40B4-BE49-F238E27FC236}">
              <a16:creationId xmlns:a16="http://schemas.microsoft.com/office/drawing/2014/main" id="{CC4F6920-0DD9-4E55-BFDF-CA34FD3A91F5}"/>
            </a:ext>
          </a:extLst>
        </xdr:cNvPr>
        <xdr:cNvSpPr>
          <a:spLocks noChangeShapeType="1"/>
        </xdr:cNvSpPr>
      </xdr:nvSpPr>
      <xdr:spPr bwMode="auto">
        <a:xfrm flipV="1">
          <a:off x="3886200" y="6832600"/>
          <a:ext cx="4089400" cy="63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1022350</xdr:colOff>
      <xdr:row>21</xdr:row>
      <xdr:rowOff>146050</xdr:rowOff>
    </xdr:from>
    <xdr:to>
      <xdr:col>7</xdr:col>
      <xdr:colOff>1047750</xdr:colOff>
      <xdr:row>22</xdr:row>
      <xdr:rowOff>114300</xdr:rowOff>
    </xdr:to>
    <xdr:sp macro="" textlink="">
      <xdr:nvSpPr>
        <xdr:cNvPr id="67238" name="Line 223">
          <a:extLst>
            <a:ext uri="{FF2B5EF4-FFF2-40B4-BE49-F238E27FC236}">
              <a16:creationId xmlns:a16="http://schemas.microsoft.com/office/drawing/2014/main" id="{1C27F892-7F05-4656-8F9E-85579B318D01}"/>
            </a:ext>
          </a:extLst>
        </xdr:cNvPr>
        <xdr:cNvSpPr>
          <a:spLocks noChangeShapeType="1"/>
        </xdr:cNvSpPr>
      </xdr:nvSpPr>
      <xdr:spPr bwMode="auto">
        <a:xfrm>
          <a:off x="5207000" y="6832600"/>
          <a:ext cx="25400" cy="53975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12700</xdr:colOff>
      <xdr:row>27</xdr:row>
      <xdr:rowOff>349250</xdr:rowOff>
    </xdr:from>
    <xdr:to>
      <xdr:col>13</xdr:col>
      <xdr:colOff>203200</xdr:colOff>
      <xdr:row>27</xdr:row>
      <xdr:rowOff>374650</xdr:rowOff>
    </xdr:to>
    <xdr:sp macro="" textlink="">
      <xdr:nvSpPr>
        <xdr:cNvPr id="67239" name="Line 4">
          <a:extLst>
            <a:ext uri="{FF2B5EF4-FFF2-40B4-BE49-F238E27FC236}">
              <a16:creationId xmlns:a16="http://schemas.microsoft.com/office/drawing/2014/main" id="{2EAA29D2-71B4-468D-A2F6-9FA4F7345710}"/>
            </a:ext>
          </a:extLst>
        </xdr:cNvPr>
        <xdr:cNvSpPr>
          <a:spLocks noChangeShapeType="1"/>
        </xdr:cNvSpPr>
      </xdr:nvSpPr>
      <xdr:spPr bwMode="auto">
        <a:xfrm>
          <a:off x="10541000" y="9042400"/>
          <a:ext cx="330200" cy="254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114300</xdr:colOff>
      <xdr:row>28</xdr:row>
      <xdr:rowOff>12700</xdr:rowOff>
    </xdr:from>
    <xdr:to>
      <xdr:col>13</xdr:col>
      <xdr:colOff>114300</xdr:colOff>
      <xdr:row>29</xdr:row>
      <xdr:rowOff>31750</xdr:rowOff>
    </xdr:to>
    <xdr:sp macro="" textlink="">
      <xdr:nvSpPr>
        <xdr:cNvPr id="68621" name="Line 21">
          <a:extLst>
            <a:ext uri="{FF2B5EF4-FFF2-40B4-BE49-F238E27FC236}">
              <a16:creationId xmlns:a16="http://schemas.microsoft.com/office/drawing/2014/main" id="{A18AB80D-E23D-463C-8BCA-35C22C2D8032}"/>
            </a:ext>
          </a:extLst>
        </xdr:cNvPr>
        <xdr:cNvSpPr>
          <a:spLocks noChangeShapeType="1"/>
        </xdr:cNvSpPr>
      </xdr:nvSpPr>
      <xdr:spPr bwMode="auto">
        <a:xfrm flipH="1">
          <a:off x="6248400" y="6521450"/>
          <a:ext cx="0" cy="4445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114300</xdr:colOff>
      <xdr:row>25</xdr:row>
      <xdr:rowOff>342900</xdr:rowOff>
    </xdr:from>
    <xdr:to>
      <xdr:col>7</xdr:col>
      <xdr:colOff>114300</xdr:colOff>
      <xdr:row>26</xdr:row>
      <xdr:rowOff>273050</xdr:rowOff>
    </xdr:to>
    <xdr:sp macro="" textlink="">
      <xdr:nvSpPr>
        <xdr:cNvPr id="68622" name="Line 22">
          <a:extLst>
            <a:ext uri="{FF2B5EF4-FFF2-40B4-BE49-F238E27FC236}">
              <a16:creationId xmlns:a16="http://schemas.microsoft.com/office/drawing/2014/main" id="{E7C6D4E2-9AE9-44A4-8C25-0D179B98A65D}"/>
            </a:ext>
          </a:extLst>
        </xdr:cNvPr>
        <xdr:cNvSpPr>
          <a:spLocks noChangeShapeType="1"/>
        </xdr:cNvSpPr>
      </xdr:nvSpPr>
      <xdr:spPr bwMode="auto">
        <a:xfrm>
          <a:off x="4559300" y="6032500"/>
          <a:ext cx="0" cy="2857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285750</xdr:colOff>
      <xdr:row>26</xdr:row>
      <xdr:rowOff>0</xdr:rowOff>
    </xdr:from>
    <xdr:to>
      <xdr:col>13</xdr:col>
      <xdr:colOff>285750</xdr:colOff>
      <xdr:row>27</xdr:row>
      <xdr:rowOff>0</xdr:rowOff>
    </xdr:to>
    <xdr:sp macro="" textlink="">
      <xdr:nvSpPr>
        <xdr:cNvPr id="68623" name="Line 23">
          <a:extLst>
            <a:ext uri="{FF2B5EF4-FFF2-40B4-BE49-F238E27FC236}">
              <a16:creationId xmlns:a16="http://schemas.microsoft.com/office/drawing/2014/main" id="{D6283893-331D-4C4A-BBEF-6C43FE815FAF}"/>
            </a:ext>
          </a:extLst>
        </xdr:cNvPr>
        <xdr:cNvSpPr>
          <a:spLocks noChangeShapeType="1"/>
        </xdr:cNvSpPr>
      </xdr:nvSpPr>
      <xdr:spPr bwMode="auto">
        <a:xfrm flipH="1" flipV="1">
          <a:off x="6419850" y="6045200"/>
          <a:ext cx="0" cy="28575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12700</xdr:colOff>
      <xdr:row>29</xdr:row>
      <xdr:rowOff>292100</xdr:rowOff>
    </xdr:from>
    <xdr:to>
      <xdr:col>12</xdr:col>
      <xdr:colOff>12700</xdr:colOff>
      <xdr:row>29</xdr:row>
      <xdr:rowOff>292100</xdr:rowOff>
    </xdr:to>
    <xdr:sp macro="" textlink="">
      <xdr:nvSpPr>
        <xdr:cNvPr id="68624" name="Line 19">
          <a:extLst>
            <a:ext uri="{FF2B5EF4-FFF2-40B4-BE49-F238E27FC236}">
              <a16:creationId xmlns:a16="http://schemas.microsoft.com/office/drawing/2014/main" id="{5ABE03EA-18FE-4562-9BCE-2D3AE5E3C1B4}"/>
            </a:ext>
          </a:extLst>
        </xdr:cNvPr>
        <xdr:cNvSpPr>
          <a:spLocks noChangeShapeType="1"/>
        </xdr:cNvSpPr>
      </xdr:nvSpPr>
      <xdr:spPr bwMode="auto">
        <a:xfrm flipV="1">
          <a:off x="5016500" y="7226300"/>
          <a:ext cx="1016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12700</xdr:colOff>
      <xdr:row>28</xdr:row>
      <xdr:rowOff>152400</xdr:rowOff>
    </xdr:from>
    <xdr:to>
      <xdr:col>20</xdr:col>
      <xdr:colOff>114300</xdr:colOff>
      <xdr:row>30</xdr:row>
      <xdr:rowOff>317500</xdr:rowOff>
    </xdr:to>
    <xdr:grpSp>
      <xdr:nvGrpSpPr>
        <xdr:cNvPr id="68625" name="Group 1">
          <a:extLst>
            <a:ext uri="{FF2B5EF4-FFF2-40B4-BE49-F238E27FC236}">
              <a16:creationId xmlns:a16="http://schemas.microsoft.com/office/drawing/2014/main" id="{56EDEEB8-364D-4D89-86E1-4F5AEC4D0D98}"/>
            </a:ext>
          </a:extLst>
        </xdr:cNvPr>
        <xdr:cNvGrpSpPr>
          <a:grpSpLocks/>
        </xdr:cNvGrpSpPr>
      </xdr:nvGrpSpPr>
      <xdr:grpSpPr bwMode="auto">
        <a:xfrm>
          <a:off x="6467288" y="6752665"/>
          <a:ext cx="1100605" cy="1050364"/>
          <a:chOff x="14744700" y="7764780"/>
          <a:chExt cx="1318260" cy="1043940"/>
        </a:xfrm>
      </xdr:grpSpPr>
      <xdr:sp macro="" textlink="">
        <xdr:nvSpPr>
          <xdr:cNvPr id="68626" name="Line 20">
            <a:extLst>
              <a:ext uri="{FF2B5EF4-FFF2-40B4-BE49-F238E27FC236}">
                <a16:creationId xmlns:a16="http://schemas.microsoft.com/office/drawing/2014/main" id="{CAABA746-EE0B-48B5-969E-8700AB950129}"/>
              </a:ext>
            </a:extLst>
          </xdr:cNvPr>
          <xdr:cNvSpPr>
            <a:spLocks noChangeShapeType="1"/>
          </xdr:cNvSpPr>
        </xdr:nvSpPr>
        <xdr:spPr bwMode="auto">
          <a:xfrm flipV="1">
            <a:off x="14744700" y="8260080"/>
            <a:ext cx="57150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sp macro="" textlink="">
        <xdr:nvSpPr>
          <xdr:cNvPr id="68627" name="Line 18">
            <a:extLst>
              <a:ext uri="{FF2B5EF4-FFF2-40B4-BE49-F238E27FC236}">
                <a16:creationId xmlns:a16="http://schemas.microsoft.com/office/drawing/2014/main" id="{8225B673-3234-4EBC-BEA1-F799A032082A}"/>
              </a:ext>
            </a:extLst>
          </xdr:cNvPr>
          <xdr:cNvSpPr>
            <a:spLocks noChangeShapeType="1"/>
          </xdr:cNvSpPr>
        </xdr:nvSpPr>
        <xdr:spPr bwMode="auto">
          <a:xfrm>
            <a:off x="15331440" y="7764780"/>
            <a:ext cx="0" cy="1043940"/>
          </a:xfrm>
          <a:prstGeom prst="line">
            <a:avLst/>
          </a:prstGeom>
          <a:noFill/>
          <a:ln w="2857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8628" name="Line 20">
            <a:extLst>
              <a:ext uri="{FF2B5EF4-FFF2-40B4-BE49-F238E27FC236}">
                <a16:creationId xmlns:a16="http://schemas.microsoft.com/office/drawing/2014/main" id="{E16635F6-A94D-421A-B7E5-778C3BA16DDA}"/>
              </a:ext>
            </a:extLst>
          </xdr:cNvPr>
          <xdr:cNvSpPr>
            <a:spLocks noChangeShapeType="1"/>
          </xdr:cNvSpPr>
        </xdr:nvSpPr>
        <xdr:spPr bwMode="auto">
          <a:xfrm flipV="1">
            <a:off x="15316200" y="7780020"/>
            <a:ext cx="73914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sp macro="" textlink="">
        <xdr:nvSpPr>
          <xdr:cNvPr id="68629" name="Line 20">
            <a:extLst>
              <a:ext uri="{FF2B5EF4-FFF2-40B4-BE49-F238E27FC236}">
                <a16:creationId xmlns:a16="http://schemas.microsoft.com/office/drawing/2014/main" id="{A072A6E3-F394-4CDD-A7C9-1B3585823BBC}"/>
              </a:ext>
            </a:extLst>
          </xdr:cNvPr>
          <xdr:cNvSpPr>
            <a:spLocks noChangeShapeType="1"/>
          </xdr:cNvSpPr>
        </xdr:nvSpPr>
        <xdr:spPr bwMode="auto">
          <a:xfrm flipV="1">
            <a:off x="15331440" y="8808720"/>
            <a:ext cx="73152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52</xdr:row>
      <xdr:rowOff>152400</xdr:rowOff>
    </xdr:from>
    <xdr:to>
      <xdr:col>4</xdr:col>
      <xdr:colOff>273050</xdr:colOff>
      <xdr:row>52</xdr:row>
      <xdr:rowOff>152400</xdr:rowOff>
    </xdr:to>
    <xdr:sp macro="" textlink="">
      <xdr:nvSpPr>
        <xdr:cNvPr id="67809" name="Line 21">
          <a:extLst>
            <a:ext uri="{FF2B5EF4-FFF2-40B4-BE49-F238E27FC236}">
              <a16:creationId xmlns:a16="http://schemas.microsoft.com/office/drawing/2014/main" id="{A5ED8D6E-4CBC-48D6-A56A-A6789B08B153}"/>
            </a:ext>
          </a:extLst>
        </xdr:cNvPr>
        <xdr:cNvSpPr>
          <a:spLocks noChangeShapeType="1"/>
        </xdr:cNvSpPr>
      </xdr:nvSpPr>
      <xdr:spPr bwMode="auto">
        <a:xfrm flipV="1">
          <a:off x="3816350" y="11188700"/>
          <a:ext cx="2730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12700</xdr:colOff>
      <xdr:row>54</xdr:row>
      <xdr:rowOff>146050</xdr:rowOff>
    </xdr:from>
    <xdr:to>
      <xdr:col>4</xdr:col>
      <xdr:colOff>266700</xdr:colOff>
      <xdr:row>54</xdr:row>
      <xdr:rowOff>146050</xdr:rowOff>
    </xdr:to>
    <xdr:sp macro="" textlink="">
      <xdr:nvSpPr>
        <xdr:cNvPr id="67810" name="Line 21">
          <a:extLst>
            <a:ext uri="{FF2B5EF4-FFF2-40B4-BE49-F238E27FC236}">
              <a16:creationId xmlns:a16="http://schemas.microsoft.com/office/drawing/2014/main" id="{5559BC99-713B-4E81-9CA2-A47F134277C4}"/>
            </a:ext>
          </a:extLst>
        </xdr:cNvPr>
        <xdr:cNvSpPr>
          <a:spLocks noChangeShapeType="1"/>
        </xdr:cNvSpPr>
      </xdr:nvSpPr>
      <xdr:spPr bwMode="auto">
        <a:xfrm flipV="1">
          <a:off x="3829050" y="11690350"/>
          <a:ext cx="254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152400</xdr:rowOff>
    </xdr:from>
    <xdr:to>
      <xdr:col>4</xdr:col>
      <xdr:colOff>254000</xdr:colOff>
      <xdr:row>56</xdr:row>
      <xdr:rowOff>152400</xdr:rowOff>
    </xdr:to>
    <xdr:sp macro="" textlink="">
      <xdr:nvSpPr>
        <xdr:cNvPr id="67811" name="Line 21">
          <a:extLst>
            <a:ext uri="{FF2B5EF4-FFF2-40B4-BE49-F238E27FC236}">
              <a16:creationId xmlns:a16="http://schemas.microsoft.com/office/drawing/2014/main" id="{9D9AAFF5-5D2A-42D1-BF65-B55743D3C8DF}"/>
            </a:ext>
          </a:extLst>
        </xdr:cNvPr>
        <xdr:cNvSpPr>
          <a:spLocks noChangeShapeType="1"/>
        </xdr:cNvSpPr>
      </xdr:nvSpPr>
      <xdr:spPr bwMode="auto">
        <a:xfrm flipV="1">
          <a:off x="3816350" y="12103100"/>
          <a:ext cx="254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12700</xdr:colOff>
      <xdr:row>62</xdr:row>
      <xdr:rowOff>177800</xdr:rowOff>
    </xdr:from>
    <xdr:to>
      <xdr:col>4</xdr:col>
      <xdr:colOff>285750</xdr:colOff>
      <xdr:row>62</xdr:row>
      <xdr:rowOff>177800</xdr:rowOff>
    </xdr:to>
    <xdr:sp macro="" textlink="">
      <xdr:nvSpPr>
        <xdr:cNvPr id="67812" name="Line 21">
          <a:extLst>
            <a:ext uri="{FF2B5EF4-FFF2-40B4-BE49-F238E27FC236}">
              <a16:creationId xmlns:a16="http://schemas.microsoft.com/office/drawing/2014/main" id="{667B3886-64C3-4B64-87ED-9C16744A3BAB}"/>
            </a:ext>
          </a:extLst>
        </xdr:cNvPr>
        <xdr:cNvSpPr>
          <a:spLocks noChangeShapeType="1"/>
        </xdr:cNvSpPr>
      </xdr:nvSpPr>
      <xdr:spPr bwMode="auto">
        <a:xfrm flipV="1">
          <a:off x="3829050" y="13176250"/>
          <a:ext cx="2730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12700</xdr:colOff>
      <xdr:row>64</xdr:row>
      <xdr:rowOff>184150</xdr:rowOff>
    </xdr:from>
    <xdr:to>
      <xdr:col>4</xdr:col>
      <xdr:colOff>266700</xdr:colOff>
      <xdr:row>64</xdr:row>
      <xdr:rowOff>184150</xdr:rowOff>
    </xdr:to>
    <xdr:sp macro="" textlink="">
      <xdr:nvSpPr>
        <xdr:cNvPr id="67813" name="Line 21">
          <a:extLst>
            <a:ext uri="{FF2B5EF4-FFF2-40B4-BE49-F238E27FC236}">
              <a16:creationId xmlns:a16="http://schemas.microsoft.com/office/drawing/2014/main" id="{FFB4B44F-8DC7-446C-978D-4757D0EA5FE7}"/>
            </a:ext>
          </a:extLst>
        </xdr:cNvPr>
        <xdr:cNvSpPr>
          <a:spLocks noChangeShapeType="1"/>
        </xdr:cNvSpPr>
      </xdr:nvSpPr>
      <xdr:spPr bwMode="auto">
        <a:xfrm flipV="1">
          <a:off x="3829050" y="13519150"/>
          <a:ext cx="254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66</xdr:row>
      <xdr:rowOff>184150</xdr:rowOff>
    </xdr:from>
    <xdr:to>
      <xdr:col>4</xdr:col>
      <xdr:colOff>285750</xdr:colOff>
      <xdr:row>66</xdr:row>
      <xdr:rowOff>184150</xdr:rowOff>
    </xdr:to>
    <xdr:sp macro="" textlink="">
      <xdr:nvSpPr>
        <xdr:cNvPr id="67814" name="Line 21">
          <a:extLst>
            <a:ext uri="{FF2B5EF4-FFF2-40B4-BE49-F238E27FC236}">
              <a16:creationId xmlns:a16="http://schemas.microsoft.com/office/drawing/2014/main" id="{6D7B7A87-B862-476A-909B-ACF4F7DE5D36}"/>
            </a:ext>
          </a:extLst>
        </xdr:cNvPr>
        <xdr:cNvSpPr>
          <a:spLocks noChangeShapeType="1"/>
        </xdr:cNvSpPr>
      </xdr:nvSpPr>
      <xdr:spPr bwMode="auto">
        <a:xfrm>
          <a:off x="3816350" y="13798550"/>
          <a:ext cx="2857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12700</xdr:colOff>
      <xdr:row>50</xdr:row>
      <xdr:rowOff>120650</xdr:rowOff>
    </xdr:from>
    <xdr:to>
      <xdr:col>9</xdr:col>
      <xdr:colOff>139700</xdr:colOff>
      <xdr:row>50</xdr:row>
      <xdr:rowOff>120650</xdr:rowOff>
    </xdr:to>
    <xdr:sp macro="" textlink="">
      <xdr:nvSpPr>
        <xdr:cNvPr id="67815" name="Line 21">
          <a:extLst>
            <a:ext uri="{FF2B5EF4-FFF2-40B4-BE49-F238E27FC236}">
              <a16:creationId xmlns:a16="http://schemas.microsoft.com/office/drawing/2014/main" id="{5A968BD4-A6EC-4878-8649-F3745272215D}"/>
            </a:ext>
          </a:extLst>
        </xdr:cNvPr>
        <xdr:cNvSpPr>
          <a:spLocks noChangeShapeType="1"/>
        </xdr:cNvSpPr>
      </xdr:nvSpPr>
      <xdr:spPr bwMode="auto">
        <a:xfrm>
          <a:off x="5562600" y="10661650"/>
          <a:ext cx="2413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146050</xdr:colOff>
      <xdr:row>50</xdr:row>
      <xdr:rowOff>146050</xdr:rowOff>
    </xdr:from>
    <xdr:to>
      <xdr:col>9</xdr:col>
      <xdr:colOff>146050</xdr:colOff>
      <xdr:row>63</xdr:row>
      <xdr:rowOff>107950</xdr:rowOff>
    </xdr:to>
    <xdr:sp macro="" textlink="">
      <xdr:nvSpPr>
        <xdr:cNvPr id="67816" name="Line 18">
          <a:extLst>
            <a:ext uri="{FF2B5EF4-FFF2-40B4-BE49-F238E27FC236}">
              <a16:creationId xmlns:a16="http://schemas.microsoft.com/office/drawing/2014/main" id="{D8F27271-6AD9-4761-878A-1AD2BBDAF0D2}"/>
            </a:ext>
          </a:extLst>
        </xdr:cNvPr>
        <xdr:cNvSpPr>
          <a:spLocks noChangeShapeType="1"/>
        </xdr:cNvSpPr>
      </xdr:nvSpPr>
      <xdr:spPr bwMode="auto">
        <a:xfrm>
          <a:off x="5810250" y="10687050"/>
          <a:ext cx="0" cy="264795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53</xdr:row>
      <xdr:rowOff>107950</xdr:rowOff>
    </xdr:from>
    <xdr:to>
      <xdr:col>9</xdr:col>
      <xdr:colOff>146050</xdr:colOff>
      <xdr:row>53</xdr:row>
      <xdr:rowOff>107950</xdr:rowOff>
    </xdr:to>
    <xdr:sp macro="" textlink="">
      <xdr:nvSpPr>
        <xdr:cNvPr id="67817" name="Line 21">
          <a:extLst>
            <a:ext uri="{FF2B5EF4-FFF2-40B4-BE49-F238E27FC236}">
              <a16:creationId xmlns:a16="http://schemas.microsoft.com/office/drawing/2014/main" id="{C5C7AFC4-3021-471D-BF30-3CE5907B91DC}"/>
            </a:ext>
          </a:extLst>
        </xdr:cNvPr>
        <xdr:cNvSpPr>
          <a:spLocks noChangeShapeType="1"/>
        </xdr:cNvSpPr>
      </xdr:nvSpPr>
      <xdr:spPr bwMode="auto">
        <a:xfrm flipV="1">
          <a:off x="5568950" y="11398250"/>
          <a:ext cx="2413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44450</xdr:colOff>
      <xdr:row>56</xdr:row>
      <xdr:rowOff>158750</xdr:rowOff>
    </xdr:from>
    <xdr:to>
      <xdr:col>9</xdr:col>
      <xdr:colOff>177800</xdr:colOff>
      <xdr:row>56</xdr:row>
      <xdr:rowOff>158750</xdr:rowOff>
    </xdr:to>
    <xdr:sp macro="" textlink="">
      <xdr:nvSpPr>
        <xdr:cNvPr id="67818" name="Line 21">
          <a:extLst>
            <a:ext uri="{FF2B5EF4-FFF2-40B4-BE49-F238E27FC236}">
              <a16:creationId xmlns:a16="http://schemas.microsoft.com/office/drawing/2014/main" id="{F5B028CC-FFD0-4131-9B13-EB3BABAEEAAF}"/>
            </a:ext>
          </a:extLst>
        </xdr:cNvPr>
        <xdr:cNvSpPr>
          <a:spLocks noChangeShapeType="1"/>
        </xdr:cNvSpPr>
      </xdr:nvSpPr>
      <xdr:spPr bwMode="auto">
        <a:xfrm flipV="1">
          <a:off x="5594350" y="12109450"/>
          <a:ext cx="2476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44450</xdr:colOff>
      <xdr:row>63</xdr:row>
      <xdr:rowOff>107950</xdr:rowOff>
    </xdr:from>
    <xdr:to>
      <xdr:col>9</xdr:col>
      <xdr:colOff>146050</xdr:colOff>
      <xdr:row>63</xdr:row>
      <xdr:rowOff>107950</xdr:rowOff>
    </xdr:to>
    <xdr:sp macro="" textlink="">
      <xdr:nvSpPr>
        <xdr:cNvPr id="67819" name="Line 21">
          <a:extLst>
            <a:ext uri="{FF2B5EF4-FFF2-40B4-BE49-F238E27FC236}">
              <a16:creationId xmlns:a16="http://schemas.microsoft.com/office/drawing/2014/main" id="{DDF69DE4-E640-46EC-93EE-7C1C3448FFB4}"/>
            </a:ext>
          </a:extLst>
        </xdr:cNvPr>
        <xdr:cNvSpPr>
          <a:spLocks noChangeShapeType="1"/>
        </xdr:cNvSpPr>
      </xdr:nvSpPr>
      <xdr:spPr bwMode="auto">
        <a:xfrm>
          <a:off x="5594350" y="13335000"/>
          <a:ext cx="215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177800</xdr:colOff>
      <xdr:row>56</xdr:row>
      <xdr:rowOff>31750</xdr:rowOff>
    </xdr:from>
    <xdr:to>
      <xdr:col>11</xdr:col>
      <xdr:colOff>44450</xdr:colOff>
      <xdr:row>56</xdr:row>
      <xdr:rowOff>31750</xdr:rowOff>
    </xdr:to>
    <xdr:sp macro="" textlink="">
      <xdr:nvSpPr>
        <xdr:cNvPr id="67820" name="Line 21">
          <a:extLst>
            <a:ext uri="{FF2B5EF4-FFF2-40B4-BE49-F238E27FC236}">
              <a16:creationId xmlns:a16="http://schemas.microsoft.com/office/drawing/2014/main" id="{AF8DA8C7-FBDD-4F07-B71F-01B339B50CC0}"/>
            </a:ext>
          </a:extLst>
        </xdr:cNvPr>
        <xdr:cNvSpPr>
          <a:spLocks noChangeShapeType="1"/>
        </xdr:cNvSpPr>
      </xdr:nvSpPr>
      <xdr:spPr bwMode="auto">
        <a:xfrm>
          <a:off x="5842000" y="11982450"/>
          <a:ext cx="4381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273050</xdr:colOff>
      <xdr:row>51</xdr:row>
      <xdr:rowOff>12700</xdr:rowOff>
    </xdr:from>
    <xdr:to>
      <xdr:col>4</xdr:col>
      <xdr:colOff>273050</xdr:colOff>
      <xdr:row>66</xdr:row>
      <xdr:rowOff>184150</xdr:rowOff>
    </xdr:to>
    <xdr:sp macro="" textlink="">
      <xdr:nvSpPr>
        <xdr:cNvPr id="67821" name="Line 18">
          <a:extLst>
            <a:ext uri="{FF2B5EF4-FFF2-40B4-BE49-F238E27FC236}">
              <a16:creationId xmlns:a16="http://schemas.microsoft.com/office/drawing/2014/main" id="{13049D84-7685-46E4-BD0F-C9CCAF9C0197}"/>
            </a:ext>
          </a:extLst>
        </xdr:cNvPr>
        <xdr:cNvSpPr>
          <a:spLocks noChangeShapeType="1"/>
        </xdr:cNvSpPr>
      </xdr:nvSpPr>
      <xdr:spPr bwMode="auto">
        <a:xfrm flipH="1">
          <a:off x="4089400" y="10896600"/>
          <a:ext cx="0" cy="290195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55</xdr:row>
      <xdr:rowOff>177800</xdr:rowOff>
    </xdr:from>
    <xdr:to>
      <xdr:col>23</xdr:col>
      <xdr:colOff>234950</xdr:colOff>
      <xdr:row>55</xdr:row>
      <xdr:rowOff>177800</xdr:rowOff>
    </xdr:to>
    <xdr:sp macro="" textlink="">
      <xdr:nvSpPr>
        <xdr:cNvPr id="67822" name="Line 21">
          <a:extLst>
            <a:ext uri="{FF2B5EF4-FFF2-40B4-BE49-F238E27FC236}">
              <a16:creationId xmlns:a16="http://schemas.microsoft.com/office/drawing/2014/main" id="{41A1F11F-0735-4144-B406-7891EEEB2758}"/>
            </a:ext>
          </a:extLst>
        </xdr:cNvPr>
        <xdr:cNvSpPr>
          <a:spLocks noChangeShapeType="1"/>
        </xdr:cNvSpPr>
      </xdr:nvSpPr>
      <xdr:spPr bwMode="auto">
        <a:xfrm flipV="1">
          <a:off x="8509000" y="11938000"/>
          <a:ext cx="13398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209550</xdr:colOff>
      <xdr:row>54</xdr:row>
      <xdr:rowOff>6350</xdr:rowOff>
    </xdr:from>
    <xdr:to>
      <xdr:col>23</xdr:col>
      <xdr:colOff>209550</xdr:colOff>
      <xdr:row>66</xdr:row>
      <xdr:rowOff>107950</xdr:rowOff>
    </xdr:to>
    <xdr:sp macro="" textlink="">
      <xdr:nvSpPr>
        <xdr:cNvPr id="67823" name="Line 18">
          <a:extLst>
            <a:ext uri="{FF2B5EF4-FFF2-40B4-BE49-F238E27FC236}">
              <a16:creationId xmlns:a16="http://schemas.microsoft.com/office/drawing/2014/main" id="{74B486FE-4AEB-4ED5-8148-646F2D524FD9}"/>
            </a:ext>
          </a:extLst>
        </xdr:cNvPr>
        <xdr:cNvSpPr>
          <a:spLocks noChangeShapeType="1"/>
        </xdr:cNvSpPr>
      </xdr:nvSpPr>
      <xdr:spPr bwMode="auto">
        <a:xfrm>
          <a:off x="9823450" y="11550650"/>
          <a:ext cx="0" cy="21717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209550</xdr:colOff>
      <xdr:row>58</xdr:row>
      <xdr:rowOff>107950</xdr:rowOff>
    </xdr:from>
    <xdr:to>
      <xdr:col>26</xdr:col>
      <xdr:colOff>19050</xdr:colOff>
      <xdr:row>58</xdr:row>
      <xdr:rowOff>107950</xdr:rowOff>
    </xdr:to>
    <xdr:sp macro="" textlink="">
      <xdr:nvSpPr>
        <xdr:cNvPr id="67824" name="Line 21">
          <a:extLst>
            <a:ext uri="{FF2B5EF4-FFF2-40B4-BE49-F238E27FC236}">
              <a16:creationId xmlns:a16="http://schemas.microsoft.com/office/drawing/2014/main" id="{02032CF0-39CF-4E6B-8A32-6A0D16FE508F}"/>
            </a:ext>
          </a:extLst>
        </xdr:cNvPr>
        <xdr:cNvSpPr>
          <a:spLocks noChangeShapeType="1"/>
        </xdr:cNvSpPr>
      </xdr:nvSpPr>
      <xdr:spPr bwMode="auto">
        <a:xfrm>
          <a:off x="9823450" y="12433300"/>
          <a:ext cx="812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234950</xdr:colOff>
      <xdr:row>60</xdr:row>
      <xdr:rowOff>107950</xdr:rowOff>
    </xdr:from>
    <xdr:to>
      <xdr:col>26</xdr:col>
      <xdr:colOff>19050</xdr:colOff>
      <xdr:row>60</xdr:row>
      <xdr:rowOff>107950</xdr:rowOff>
    </xdr:to>
    <xdr:sp macro="" textlink="">
      <xdr:nvSpPr>
        <xdr:cNvPr id="67825" name="Line 21">
          <a:extLst>
            <a:ext uri="{FF2B5EF4-FFF2-40B4-BE49-F238E27FC236}">
              <a16:creationId xmlns:a16="http://schemas.microsoft.com/office/drawing/2014/main" id="{272F6B67-FB25-4AB5-8460-7637D58E0D16}"/>
            </a:ext>
          </a:extLst>
        </xdr:cNvPr>
        <xdr:cNvSpPr>
          <a:spLocks noChangeShapeType="1"/>
        </xdr:cNvSpPr>
      </xdr:nvSpPr>
      <xdr:spPr bwMode="auto">
        <a:xfrm flipV="1">
          <a:off x="9848850" y="12769850"/>
          <a:ext cx="7874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234950</xdr:colOff>
      <xdr:row>66</xdr:row>
      <xdr:rowOff>76200</xdr:rowOff>
    </xdr:from>
    <xdr:to>
      <xdr:col>26</xdr:col>
      <xdr:colOff>19050</xdr:colOff>
      <xdr:row>66</xdr:row>
      <xdr:rowOff>76200</xdr:rowOff>
    </xdr:to>
    <xdr:sp macro="" textlink="">
      <xdr:nvSpPr>
        <xdr:cNvPr id="67826" name="Line 21">
          <a:extLst>
            <a:ext uri="{FF2B5EF4-FFF2-40B4-BE49-F238E27FC236}">
              <a16:creationId xmlns:a16="http://schemas.microsoft.com/office/drawing/2014/main" id="{0091C106-1668-48E3-94BB-DDEC308F818E}"/>
            </a:ext>
          </a:extLst>
        </xdr:cNvPr>
        <xdr:cNvSpPr>
          <a:spLocks noChangeShapeType="1"/>
        </xdr:cNvSpPr>
      </xdr:nvSpPr>
      <xdr:spPr bwMode="auto">
        <a:xfrm flipV="1">
          <a:off x="9848850" y="13690600"/>
          <a:ext cx="7874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209550</xdr:colOff>
      <xdr:row>62</xdr:row>
      <xdr:rowOff>114300</xdr:rowOff>
    </xdr:from>
    <xdr:to>
      <xdr:col>26</xdr:col>
      <xdr:colOff>0</xdr:colOff>
      <xdr:row>62</xdr:row>
      <xdr:rowOff>114300</xdr:rowOff>
    </xdr:to>
    <xdr:sp macro="" textlink="">
      <xdr:nvSpPr>
        <xdr:cNvPr id="67827" name="Line 21">
          <a:extLst>
            <a:ext uri="{FF2B5EF4-FFF2-40B4-BE49-F238E27FC236}">
              <a16:creationId xmlns:a16="http://schemas.microsoft.com/office/drawing/2014/main" id="{4A92A7A4-F7F2-4393-8020-2D5EEDAAAA59}"/>
            </a:ext>
          </a:extLst>
        </xdr:cNvPr>
        <xdr:cNvSpPr>
          <a:spLocks noChangeShapeType="1"/>
        </xdr:cNvSpPr>
      </xdr:nvSpPr>
      <xdr:spPr bwMode="auto">
        <a:xfrm flipV="1">
          <a:off x="9823450" y="13112750"/>
          <a:ext cx="7937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209550</xdr:colOff>
      <xdr:row>64</xdr:row>
      <xdr:rowOff>88900</xdr:rowOff>
    </xdr:from>
    <xdr:to>
      <xdr:col>26</xdr:col>
      <xdr:colOff>12700</xdr:colOff>
      <xdr:row>64</xdr:row>
      <xdr:rowOff>88900</xdr:rowOff>
    </xdr:to>
    <xdr:sp macro="" textlink="">
      <xdr:nvSpPr>
        <xdr:cNvPr id="67828" name="Line 21">
          <a:extLst>
            <a:ext uri="{FF2B5EF4-FFF2-40B4-BE49-F238E27FC236}">
              <a16:creationId xmlns:a16="http://schemas.microsoft.com/office/drawing/2014/main" id="{1DA4565E-B5E6-4F77-BC67-05C59A7C1039}"/>
            </a:ext>
          </a:extLst>
        </xdr:cNvPr>
        <xdr:cNvSpPr>
          <a:spLocks noChangeShapeType="1"/>
        </xdr:cNvSpPr>
      </xdr:nvSpPr>
      <xdr:spPr bwMode="auto">
        <a:xfrm flipV="1">
          <a:off x="9823450" y="13423900"/>
          <a:ext cx="8064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56</xdr:row>
      <xdr:rowOff>31750</xdr:rowOff>
    </xdr:from>
    <xdr:to>
      <xdr:col>15</xdr:col>
      <xdr:colOff>425450</xdr:colOff>
      <xdr:row>64</xdr:row>
      <xdr:rowOff>31750</xdr:rowOff>
    </xdr:to>
    <xdr:grpSp>
      <xdr:nvGrpSpPr>
        <xdr:cNvPr id="67829" name="Group 2">
          <a:extLst>
            <a:ext uri="{FF2B5EF4-FFF2-40B4-BE49-F238E27FC236}">
              <a16:creationId xmlns:a16="http://schemas.microsoft.com/office/drawing/2014/main" id="{CC92F044-3C2B-4F36-A5C1-78B2E4664B88}"/>
            </a:ext>
          </a:extLst>
        </xdr:cNvPr>
        <xdr:cNvGrpSpPr>
          <a:grpSpLocks/>
        </xdr:cNvGrpSpPr>
      </xdr:nvGrpSpPr>
      <xdr:grpSpPr bwMode="auto">
        <a:xfrm>
          <a:off x="6555441" y="11932397"/>
          <a:ext cx="497728" cy="1355912"/>
          <a:chOff x="13396856" y="8348831"/>
          <a:chExt cx="579120" cy="723451"/>
        </a:xfrm>
      </xdr:grpSpPr>
      <xdr:sp macro="" textlink="">
        <xdr:nvSpPr>
          <xdr:cNvPr id="67838" name="Line 21">
            <a:extLst>
              <a:ext uri="{FF2B5EF4-FFF2-40B4-BE49-F238E27FC236}">
                <a16:creationId xmlns:a16="http://schemas.microsoft.com/office/drawing/2014/main" id="{0586B587-B93C-46BB-9CCC-5E6D780263EC}"/>
              </a:ext>
            </a:extLst>
          </xdr:cNvPr>
          <xdr:cNvSpPr>
            <a:spLocks noChangeShapeType="1"/>
          </xdr:cNvSpPr>
        </xdr:nvSpPr>
        <xdr:spPr bwMode="auto">
          <a:xfrm flipV="1">
            <a:off x="13396856" y="8348831"/>
            <a:ext cx="5791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sp macro="" textlink="">
        <xdr:nvSpPr>
          <xdr:cNvPr id="67839" name="Line 223">
            <a:extLst>
              <a:ext uri="{FF2B5EF4-FFF2-40B4-BE49-F238E27FC236}">
                <a16:creationId xmlns:a16="http://schemas.microsoft.com/office/drawing/2014/main" id="{F4F4E6C5-9E56-45EE-8560-0EFE165D231E}"/>
              </a:ext>
            </a:extLst>
          </xdr:cNvPr>
          <xdr:cNvSpPr>
            <a:spLocks noChangeShapeType="1"/>
          </xdr:cNvSpPr>
        </xdr:nvSpPr>
        <xdr:spPr bwMode="auto">
          <a:xfrm>
            <a:off x="13644282" y="8356451"/>
            <a:ext cx="0" cy="715831"/>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0</xdr:colOff>
      <xdr:row>58</xdr:row>
      <xdr:rowOff>184150</xdr:rowOff>
    </xdr:from>
    <xdr:to>
      <xdr:col>4</xdr:col>
      <xdr:colOff>254000</xdr:colOff>
      <xdr:row>58</xdr:row>
      <xdr:rowOff>184150</xdr:rowOff>
    </xdr:to>
    <xdr:sp macro="" textlink="">
      <xdr:nvSpPr>
        <xdr:cNvPr id="67830" name="Line 21">
          <a:extLst>
            <a:ext uri="{FF2B5EF4-FFF2-40B4-BE49-F238E27FC236}">
              <a16:creationId xmlns:a16="http://schemas.microsoft.com/office/drawing/2014/main" id="{93E79399-D1CD-42CB-B4BC-072966765E4D}"/>
            </a:ext>
          </a:extLst>
        </xdr:cNvPr>
        <xdr:cNvSpPr>
          <a:spLocks noChangeShapeType="1"/>
        </xdr:cNvSpPr>
      </xdr:nvSpPr>
      <xdr:spPr bwMode="auto">
        <a:xfrm flipV="1">
          <a:off x="3816350" y="12509500"/>
          <a:ext cx="254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12700</xdr:colOff>
      <xdr:row>60</xdr:row>
      <xdr:rowOff>184150</xdr:rowOff>
    </xdr:from>
    <xdr:to>
      <xdr:col>4</xdr:col>
      <xdr:colOff>266700</xdr:colOff>
      <xdr:row>60</xdr:row>
      <xdr:rowOff>184150</xdr:rowOff>
    </xdr:to>
    <xdr:sp macro="" textlink="">
      <xdr:nvSpPr>
        <xdr:cNvPr id="67831" name="Line 21">
          <a:extLst>
            <a:ext uri="{FF2B5EF4-FFF2-40B4-BE49-F238E27FC236}">
              <a16:creationId xmlns:a16="http://schemas.microsoft.com/office/drawing/2014/main" id="{97D018BF-32F3-4579-98FF-83AE9B5D5C23}"/>
            </a:ext>
          </a:extLst>
        </xdr:cNvPr>
        <xdr:cNvSpPr>
          <a:spLocks noChangeShapeType="1"/>
        </xdr:cNvSpPr>
      </xdr:nvSpPr>
      <xdr:spPr bwMode="auto">
        <a:xfrm flipV="1">
          <a:off x="3829050" y="12846050"/>
          <a:ext cx="254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234950</xdr:colOff>
      <xdr:row>54</xdr:row>
      <xdr:rowOff>38100</xdr:rowOff>
    </xdr:from>
    <xdr:to>
      <xdr:col>26</xdr:col>
      <xdr:colOff>19050</xdr:colOff>
      <xdr:row>54</xdr:row>
      <xdr:rowOff>38100</xdr:rowOff>
    </xdr:to>
    <xdr:sp macro="" textlink="">
      <xdr:nvSpPr>
        <xdr:cNvPr id="67832" name="Line 21">
          <a:extLst>
            <a:ext uri="{FF2B5EF4-FFF2-40B4-BE49-F238E27FC236}">
              <a16:creationId xmlns:a16="http://schemas.microsoft.com/office/drawing/2014/main" id="{84980EA3-065B-4D2F-9098-49DD4CAB7681}"/>
            </a:ext>
          </a:extLst>
        </xdr:cNvPr>
        <xdr:cNvSpPr>
          <a:spLocks noChangeShapeType="1"/>
        </xdr:cNvSpPr>
      </xdr:nvSpPr>
      <xdr:spPr bwMode="auto">
        <a:xfrm>
          <a:off x="9848850" y="11582400"/>
          <a:ext cx="7874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203200</xdr:colOff>
      <xdr:row>56</xdr:row>
      <xdr:rowOff>69850</xdr:rowOff>
    </xdr:from>
    <xdr:to>
      <xdr:col>26</xdr:col>
      <xdr:colOff>12700</xdr:colOff>
      <xdr:row>56</xdr:row>
      <xdr:rowOff>69850</xdr:rowOff>
    </xdr:to>
    <xdr:sp macro="" textlink="">
      <xdr:nvSpPr>
        <xdr:cNvPr id="67833" name="Line 21">
          <a:extLst>
            <a:ext uri="{FF2B5EF4-FFF2-40B4-BE49-F238E27FC236}">
              <a16:creationId xmlns:a16="http://schemas.microsoft.com/office/drawing/2014/main" id="{8215BE38-4002-4E2A-BA28-A7B448189851}"/>
            </a:ext>
          </a:extLst>
        </xdr:cNvPr>
        <xdr:cNvSpPr>
          <a:spLocks noChangeShapeType="1"/>
        </xdr:cNvSpPr>
      </xdr:nvSpPr>
      <xdr:spPr bwMode="auto">
        <a:xfrm>
          <a:off x="9817100" y="12020550"/>
          <a:ext cx="812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1130300</xdr:colOff>
      <xdr:row>49</xdr:row>
      <xdr:rowOff>12700</xdr:rowOff>
    </xdr:from>
    <xdr:to>
      <xdr:col>3</xdr:col>
      <xdr:colOff>1130300</xdr:colOff>
      <xdr:row>50</xdr:row>
      <xdr:rowOff>190500</xdr:rowOff>
    </xdr:to>
    <xdr:sp macro="" textlink="">
      <xdr:nvSpPr>
        <xdr:cNvPr id="67834" name="Line 18">
          <a:extLst>
            <a:ext uri="{FF2B5EF4-FFF2-40B4-BE49-F238E27FC236}">
              <a16:creationId xmlns:a16="http://schemas.microsoft.com/office/drawing/2014/main" id="{CD7A9156-4F36-4B1F-A568-B9B91F84E64F}"/>
            </a:ext>
          </a:extLst>
        </xdr:cNvPr>
        <xdr:cNvSpPr>
          <a:spLocks noChangeShapeType="1"/>
        </xdr:cNvSpPr>
      </xdr:nvSpPr>
      <xdr:spPr bwMode="auto">
        <a:xfrm>
          <a:off x="1657350" y="10198100"/>
          <a:ext cx="0" cy="5334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1130300</xdr:colOff>
      <xdr:row>49</xdr:row>
      <xdr:rowOff>203200</xdr:rowOff>
    </xdr:from>
    <xdr:to>
      <xdr:col>11</xdr:col>
      <xdr:colOff>12700</xdr:colOff>
      <xdr:row>49</xdr:row>
      <xdr:rowOff>222250</xdr:rowOff>
    </xdr:to>
    <xdr:sp macro="" textlink="">
      <xdr:nvSpPr>
        <xdr:cNvPr id="67835" name="Line 223">
          <a:extLst>
            <a:ext uri="{FF2B5EF4-FFF2-40B4-BE49-F238E27FC236}">
              <a16:creationId xmlns:a16="http://schemas.microsoft.com/office/drawing/2014/main" id="{0D5738B5-770E-461E-B885-52F7FAEF6243}"/>
            </a:ext>
          </a:extLst>
        </xdr:cNvPr>
        <xdr:cNvSpPr>
          <a:spLocks noChangeShapeType="1"/>
        </xdr:cNvSpPr>
      </xdr:nvSpPr>
      <xdr:spPr bwMode="auto">
        <a:xfrm flipV="1">
          <a:off x="1657350" y="10388600"/>
          <a:ext cx="4591050" cy="1905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1130300</xdr:colOff>
      <xdr:row>49</xdr:row>
      <xdr:rowOff>12700</xdr:rowOff>
    </xdr:from>
    <xdr:to>
      <xdr:col>3</xdr:col>
      <xdr:colOff>1130300</xdr:colOff>
      <xdr:row>50</xdr:row>
      <xdr:rowOff>190500</xdr:rowOff>
    </xdr:to>
    <xdr:sp macro="" textlink="">
      <xdr:nvSpPr>
        <xdr:cNvPr id="67836" name="Line 18">
          <a:extLst>
            <a:ext uri="{FF2B5EF4-FFF2-40B4-BE49-F238E27FC236}">
              <a16:creationId xmlns:a16="http://schemas.microsoft.com/office/drawing/2014/main" id="{2ACAFA44-6A8D-42E0-A61F-9C28366D472F}"/>
            </a:ext>
          </a:extLst>
        </xdr:cNvPr>
        <xdr:cNvSpPr>
          <a:spLocks noChangeShapeType="1"/>
        </xdr:cNvSpPr>
      </xdr:nvSpPr>
      <xdr:spPr bwMode="auto">
        <a:xfrm>
          <a:off x="1657350" y="10198100"/>
          <a:ext cx="0" cy="5334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1130300</xdr:colOff>
      <xdr:row>50</xdr:row>
      <xdr:rowOff>165100</xdr:rowOff>
    </xdr:from>
    <xdr:to>
      <xdr:col>4</xdr:col>
      <xdr:colOff>19050</xdr:colOff>
      <xdr:row>50</xdr:row>
      <xdr:rowOff>177800</xdr:rowOff>
    </xdr:to>
    <xdr:sp macro="" textlink="">
      <xdr:nvSpPr>
        <xdr:cNvPr id="67837" name="Line 21">
          <a:extLst>
            <a:ext uri="{FF2B5EF4-FFF2-40B4-BE49-F238E27FC236}">
              <a16:creationId xmlns:a16="http://schemas.microsoft.com/office/drawing/2014/main" id="{8AC27446-9BE2-4AA3-A7A3-3BF7AEB7DEB8}"/>
            </a:ext>
          </a:extLst>
        </xdr:cNvPr>
        <xdr:cNvSpPr>
          <a:spLocks noChangeShapeType="1"/>
        </xdr:cNvSpPr>
      </xdr:nvSpPr>
      <xdr:spPr bwMode="auto">
        <a:xfrm flipV="1">
          <a:off x="1657350" y="10706100"/>
          <a:ext cx="2178050" cy="127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12700</xdr:colOff>
      <xdr:row>32</xdr:row>
      <xdr:rowOff>317500</xdr:rowOff>
    </xdr:from>
    <xdr:to>
      <xdr:col>10</xdr:col>
      <xdr:colOff>0</xdr:colOff>
      <xdr:row>32</xdr:row>
      <xdr:rowOff>317500</xdr:rowOff>
    </xdr:to>
    <xdr:sp macro="" textlink="">
      <xdr:nvSpPr>
        <xdr:cNvPr id="65779" name="Line 15">
          <a:extLst>
            <a:ext uri="{FF2B5EF4-FFF2-40B4-BE49-F238E27FC236}">
              <a16:creationId xmlns:a16="http://schemas.microsoft.com/office/drawing/2014/main" id="{C33F6B40-0A3B-4752-BA67-88A3493EE004}"/>
            </a:ext>
          </a:extLst>
        </xdr:cNvPr>
        <xdr:cNvSpPr>
          <a:spLocks noChangeShapeType="1"/>
        </xdr:cNvSpPr>
      </xdr:nvSpPr>
      <xdr:spPr bwMode="auto">
        <a:xfrm>
          <a:off x="3079750" y="8331200"/>
          <a:ext cx="22733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266700</xdr:colOff>
      <xdr:row>32</xdr:row>
      <xdr:rowOff>317500</xdr:rowOff>
    </xdr:from>
    <xdr:to>
      <xdr:col>5</xdr:col>
      <xdr:colOff>266700</xdr:colOff>
      <xdr:row>41</xdr:row>
      <xdr:rowOff>0</xdr:rowOff>
    </xdr:to>
    <xdr:sp macro="" textlink="">
      <xdr:nvSpPr>
        <xdr:cNvPr id="65780" name="Line 16">
          <a:extLst>
            <a:ext uri="{FF2B5EF4-FFF2-40B4-BE49-F238E27FC236}">
              <a16:creationId xmlns:a16="http://schemas.microsoft.com/office/drawing/2014/main" id="{5AAB7073-23B5-459C-8EA5-AB50439D8AF7}"/>
            </a:ext>
          </a:extLst>
        </xdr:cNvPr>
        <xdr:cNvSpPr>
          <a:spLocks noChangeShapeType="1"/>
        </xdr:cNvSpPr>
      </xdr:nvSpPr>
      <xdr:spPr bwMode="auto">
        <a:xfrm>
          <a:off x="3981450" y="8331200"/>
          <a:ext cx="0" cy="17526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19050</xdr:colOff>
      <xdr:row>32</xdr:row>
      <xdr:rowOff>349250</xdr:rowOff>
    </xdr:from>
    <xdr:to>
      <xdr:col>17</xdr:col>
      <xdr:colOff>361950</xdr:colOff>
      <xdr:row>32</xdr:row>
      <xdr:rowOff>349250</xdr:rowOff>
    </xdr:to>
    <xdr:sp macro="" textlink="">
      <xdr:nvSpPr>
        <xdr:cNvPr id="65781" name="Line 17">
          <a:extLst>
            <a:ext uri="{FF2B5EF4-FFF2-40B4-BE49-F238E27FC236}">
              <a16:creationId xmlns:a16="http://schemas.microsoft.com/office/drawing/2014/main" id="{BE635933-49BC-4478-90AD-DBF5E07A920E}"/>
            </a:ext>
          </a:extLst>
        </xdr:cNvPr>
        <xdr:cNvSpPr>
          <a:spLocks noChangeShapeType="1"/>
        </xdr:cNvSpPr>
      </xdr:nvSpPr>
      <xdr:spPr bwMode="auto">
        <a:xfrm flipV="1">
          <a:off x="6515100" y="8362950"/>
          <a:ext cx="1016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361950</xdr:colOff>
      <xdr:row>30</xdr:row>
      <xdr:rowOff>69850</xdr:rowOff>
    </xdr:from>
    <xdr:to>
      <xdr:col>17</xdr:col>
      <xdr:colOff>361950</xdr:colOff>
      <xdr:row>42</xdr:row>
      <xdr:rowOff>228600</xdr:rowOff>
    </xdr:to>
    <xdr:sp macro="" textlink="">
      <xdr:nvSpPr>
        <xdr:cNvPr id="65782" name="Line 18">
          <a:extLst>
            <a:ext uri="{FF2B5EF4-FFF2-40B4-BE49-F238E27FC236}">
              <a16:creationId xmlns:a16="http://schemas.microsoft.com/office/drawing/2014/main" id="{5F351E72-4136-4477-9440-AA09FEADD1D0}"/>
            </a:ext>
          </a:extLst>
        </xdr:cNvPr>
        <xdr:cNvSpPr>
          <a:spLocks noChangeShapeType="1"/>
        </xdr:cNvSpPr>
      </xdr:nvSpPr>
      <xdr:spPr bwMode="auto">
        <a:xfrm flipH="1">
          <a:off x="7531100" y="7689850"/>
          <a:ext cx="0" cy="27686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361950</xdr:colOff>
      <xdr:row>30</xdr:row>
      <xdr:rowOff>69850</xdr:rowOff>
    </xdr:from>
    <xdr:to>
      <xdr:col>20</xdr:col>
      <xdr:colOff>12700</xdr:colOff>
      <xdr:row>30</xdr:row>
      <xdr:rowOff>69850</xdr:rowOff>
    </xdr:to>
    <xdr:sp macro="" textlink="">
      <xdr:nvSpPr>
        <xdr:cNvPr id="65783" name="Line 19">
          <a:extLst>
            <a:ext uri="{FF2B5EF4-FFF2-40B4-BE49-F238E27FC236}">
              <a16:creationId xmlns:a16="http://schemas.microsoft.com/office/drawing/2014/main" id="{8A4201D1-208A-4C9F-AA87-59D8A103060C}"/>
            </a:ext>
          </a:extLst>
        </xdr:cNvPr>
        <xdr:cNvSpPr>
          <a:spLocks noChangeShapeType="1"/>
        </xdr:cNvSpPr>
      </xdr:nvSpPr>
      <xdr:spPr bwMode="auto">
        <a:xfrm flipV="1">
          <a:off x="7531100" y="7689850"/>
          <a:ext cx="6540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361950</xdr:colOff>
      <xdr:row>32</xdr:row>
      <xdr:rowOff>222250</xdr:rowOff>
    </xdr:from>
    <xdr:to>
      <xdr:col>20</xdr:col>
      <xdr:colOff>12700</xdr:colOff>
      <xdr:row>32</xdr:row>
      <xdr:rowOff>222250</xdr:rowOff>
    </xdr:to>
    <xdr:sp macro="" textlink="">
      <xdr:nvSpPr>
        <xdr:cNvPr id="65784" name="Line 20">
          <a:extLst>
            <a:ext uri="{FF2B5EF4-FFF2-40B4-BE49-F238E27FC236}">
              <a16:creationId xmlns:a16="http://schemas.microsoft.com/office/drawing/2014/main" id="{8E018B19-EDDC-4BA4-BBD7-0E2D624A24AE}"/>
            </a:ext>
          </a:extLst>
        </xdr:cNvPr>
        <xdr:cNvSpPr>
          <a:spLocks noChangeShapeType="1"/>
        </xdr:cNvSpPr>
      </xdr:nvSpPr>
      <xdr:spPr bwMode="auto">
        <a:xfrm>
          <a:off x="7531100" y="8235950"/>
          <a:ext cx="6540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361950</xdr:colOff>
      <xdr:row>36</xdr:row>
      <xdr:rowOff>165100</xdr:rowOff>
    </xdr:from>
    <xdr:to>
      <xdr:col>20</xdr:col>
      <xdr:colOff>12700</xdr:colOff>
      <xdr:row>36</xdr:row>
      <xdr:rowOff>165100</xdr:rowOff>
    </xdr:to>
    <xdr:sp macro="" textlink="">
      <xdr:nvSpPr>
        <xdr:cNvPr id="65785" name="Line 21">
          <a:extLst>
            <a:ext uri="{FF2B5EF4-FFF2-40B4-BE49-F238E27FC236}">
              <a16:creationId xmlns:a16="http://schemas.microsoft.com/office/drawing/2014/main" id="{CD8206C9-B654-4E12-859F-B62229F79722}"/>
            </a:ext>
          </a:extLst>
        </xdr:cNvPr>
        <xdr:cNvSpPr>
          <a:spLocks noChangeShapeType="1"/>
        </xdr:cNvSpPr>
      </xdr:nvSpPr>
      <xdr:spPr bwMode="auto">
        <a:xfrm>
          <a:off x="7531100" y="9232900"/>
          <a:ext cx="6540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368300</xdr:colOff>
      <xdr:row>40</xdr:row>
      <xdr:rowOff>152400</xdr:rowOff>
    </xdr:from>
    <xdr:to>
      <xdr:col>20</xdr:col>
      <xdr:colOff>12700</xdr:colOff>
      <xdr:row>40</xdr:row>
      <xdr:rowOff>152400</xdr:rowOff>
    </xdr:to>
    <xdr:sp macro="" textlink="">
      <xdr:nvSpPr>
        <xdr:cNvPr id="65786" name="Line 22">
          <a:extLst>
            <a:ext uri="{FF2B5EF4-FFF2-40B4-BE49-F238E27FC236}">
              <a16:creationId xmlns:a16="http://schemas.microsoft.com/office/drawing/2014/main" id="{521D7390-306A-4B53-979E-2356680E1A43}"/>
            </a:ext>
          </a:extLst>
        </xdr:cNvPr>
        <xdr:cNvSpPr>
          <a:spLocks noChangeShapeType="1"/>
        </xdr:cNvSpPr>
      </xdr:nvSpPr>
      <xdr:spPr bwMode="auto">
        <a:xfrm flipV="1">
          <a:off x="7537450" y="9994900"/>
          <a:ext cx="6477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361950</xdr:colOff>
      <xdr:row>42</xdr:row>
      <xdr:rowOff>215900</xdr:rowOff>
    </xdr:from>
    <xdr:to>
      <xdr:col>19</xdr:col>
      <xdr:colOff>444500</xdr:colOff>
      <xdr:row>42</xdr:row>
      <xdr:rowOff>215900</xdr:rowOff>
    </xdr:to>
    <xdr:sp macro="" textlink="">
      <xdr:nvSpPr>
        <xdr:cNvPr id="65787" name="Line 23">
          <a:extLst>
            <a:ext uri="{FF2B5EF4-FFF2-40B4-BE49-F238E27FC236}">
              <a16:creationId xmlns:a16="http://schemas.microsoft.com/office/drawing/2014/main" id="{2D46402D-838F-4DCE-858D-15136A8B8ECF}"/>
            </a:ext>
          </a:extLst>
        </xdr:cNvPr>
        <xdr:cNvSpPr>
          <a:spLocks noChangeShapeType="1"/>
        </xdr:cNvSpPr>
      </xdr:nvSpPr>
      <xdr:spPr bwMode="auto">
        <a:xfrm flipV="1">
          <a:off x="7531100" y="10445750"/>
          <a:ext cx="6413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368300</xdr:colOff>
      <xdr:row>34</xdr:row>
      <xdr:rowOff>177800</xdr:rowOff>
    </xdr:from>
    <xdr:to>
      <xdr:col>20</xdr:col>
      <xdr:colOff>19050</xdr:colOff>
      <xdr:row>34</xdr:row>
      <xdr:rowOff>177800</xdr:rowOff>
    </xdr:to>
    <xdr:sp macro="" textlink="">
      <xdr:nvSpPr>
        <xdr:cNvPr id="65788" name="Line 20">
          <a:extLst>
            <a:ext uri="{FF2B5EF4-FFF2-40B4-BE49-F238E27FC236}">
              <a16:creationId xmlns:a16="http://schemas.microsoft.com/office/drawing/2014/main" id="{5920A069-64DB-4611-A64E-49B41820FBC1}"/>
            </a:ext>
          </a:extLst>
        </xdr:cNvPr>
        <xdr:cNvSpPr>
          <a:spLocks noChangeShapeType="1"/>
        </xdr:cNvSpPr>
      </xdr:nvSpPr>
      <xdr:spPr bwMode="auto">
        <a:xfrm>
          <a:off x="7537450" y="8782050"/>
          <a:ext cx="6540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361950</xdr:colOff>
      <xdr:row>38</xdr:row>
      <xdr:rowOff>184150</xdr:rowOff>
    </xdr:from>
    <xdr:to>
      <xdr:col>19</xdr:col>
      <xdr:colOff>444500</xdr:colOff>
      <xdr:row>38</xdr:row>
      <xdr:rowOff>184150</xdr:rowOff>
    </xdr:to>
    <xdr:sp macro="" textlink="">
      <xdr:nvSpPr>
        <xdr:cNvPr id="65789" name="Line 20">
          <a:extLst>
            <a:ext uri="{FF2B5EF4-FFF2-40B4-BE49-F238E27FC236}">
              <a16:creationId xmlns:a16="http://schemas.microsoft.com/office/drawing/2014/main" id="{C61E2A27-1917-4ADD-B917-F172DB522057}"/>
            </a:ext>
          </a:extLst>
        </xdr:cNvPr>
        <xdr:cNvSpPr>
          <a:spLocks noChangeShapeType="1"/>
        </xdr:cNvSpPr>
      </xdr:nvSpPr>
      <xdr:spPr bwMode="auto">
        <a:xfrm>
          <a:off x="7531100" y="9632950"/>
          <a:ext cx="6413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241300</xdr:colOff>
      <xdr:row>39</xdr:row>
      <xdr:rowOff>31750</xdr:rowOff>
    </xdr:from>
    <xdr:to>
      <xdr:col>9</xdr:col>
      <xdr:colOff>19050</xdr:colOff>
      <xdr:row>39</xdr:row>
      <xdr:rowOff>31750</xdr:rowOff>
    </xdr:to>
    <xdr:sp macro="" textlink="">
      <xdr:nvSpPr>
        <xdr:cNvPr id="63167" name="Line 18">
          <a:extLst>
            <a:ext uri="{FF2B5EF4-FFF2-40B4-BE49-F238E27FC236}">
              <a16:creationId xmlns:a16="http://schemas.microsoft.com/office/drawing/2014/main" id="{3D962344-E006-4C51-9970-F7E4797EA717}"/>
            </a:ext>
          </a:extLst>
        </xdr:cNvPr>
        <xdr:cNvSpPr>
          <a:spLocks noChangeShapeType="1"/>
        </xdr:cNvSpPr>
      </xdr:nvSpPr>
      <xdr:spPr bwMode="auto">
        <a:xfrm flipH="1" flipV="1">
          <a:off x="3162300" y="9791700"/>
          <a:ext cx="180975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127000</xdr:rowOff>
    </xdr:from>
    <xdr:to>
      <xdr:col>4</xdr:col>
      <xdr:colOff>254000</xdr:colOff>
      <xdr:row>33</xdr:row>
      <xdr:rowOff>127000</xdr:rowOff>
    </xdr:to>
    <xdr:sp macro="" textlink="">
      <xdr:nvSpPr>
        <xdr:cNvPr id="63168" name="Line 18">
          <a:extLst>
            <a:ext uri="{FF2B5EF4-FFF2-40B4-BE49-F238E27FC236}">
              <a16:creationId xmlns:a16="http://schemas.microsoft.com/office/drawing/2014/main" id="{0868CC88-0FED-4EF7-A3CA-01273E9B7797}"/>
            </a:ext>
          </a:extLst>
        </xdr:cNvPr>
        <xdr:cNvSpPr>
          <a:spLocks noChangeShapeType="1"/>
        </xdr:cNvSpPr>
      </xdr:nvSpPr>
      <xdr:spPr bwMode="auto">
        <a:xfrm flipH="1" flipV="1">
          <a:off x="2921000" y="8528050"/>
          <a:ext cx="2540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127000</xdr:rowOff>
    </xdr:from>
    <xdr:to>
      <xdr:col>4</xdr:col>
      <xdr:colOff>254000</xdr:colOff>
      <xdr:row>37</xdr:row>
      <xdr:rowOff>127000</xdr:rowOff>
    </xdr:to>
    <xdr:sp macro="" textlink="">
      <xdr:nvSpPr>
        <xdr:cNvPr id="63169" name="Line 18">
          <a:extLst>
            <a:ext uri="{FF2B5EF4-FFF2-40B4-BE49-F238E27FC236}">
              <a16:creationId xmlns:a16="http://schemas.microsoft.com/office/drawing/2014/main" id="{C6772824-65CE-4BB3-A24B-7BCB6540915E}"/>
            </a:ext>
          </a:extLst>
        </xdr:cNvPr>
        <xdr:cNvSpPr>
          <a:spLocks noChangeShapeType="1"/>
        </xdr:cNvSpPr>
      </xdr:nvSpPr>
      <xdr:spPr bwMode="auto">
        <a:xfrm flipH="1" flipV="1">
          <a:off x="2921000" y="9499600"/>
          <a:ext cx="2540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127000</xdr:rowOff>
    </xdr:from>
    <xdr:to>
      <xdr:col>4</xdr:col>
      <xdr:colOff>254000</xdr:colOff>
      <xdr:row>39</xdr:row>
      <xdr:rowOff>127000</xdr:rowOff>
    </xdr:to>
    <xdr:sp macro="" textlink="">
      <xdr:nvSpPr>
        <xdr:cNvPr id="63170" name="Line 18">
          <a:extLst>
            <a:ext uri="{FF2B5EF4-FFF2-40B4-BE49-F238E27FC236}">
              <a16:creationId xmlns:a16="http://schemas.microsoft.com/office/drawing/2014/main" id="{0E4C3291-BA5F-4AC0-8031-924D4615ED4A}"/>
            </a:ext>
          </a:extLst>
        </xdr:cNvPr>
        <xdr:cNvSpPr>
          <a:spLocks noChangeShapeType="1"/>
        </xdr:cNvSpPr>
      </xdr:nvSpPr>
      <xdr:spPr bwMode="auto">
        <a:xfrm flipH="1" flipV="1">
          <a:off x="2921000" y="9886950"/>
          <a:ext cx="2540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127000</xdr:rowOff>
    </xdr:from>
    <xdr:to>
      <xdr:col>4</xdr:col>
      <xdr:colOff>254000</xdr:colOff>
      <xdr:row>43</xdr:row>
      <xdr:rowOff>127000</xdr:rowOff>
    </xdr:to>
    <xdr:sp macro="" textlink="">
      <xdr:nvSpPr>
        <xdr:cNvPr id="63171" name="Line 18">
          <a:extLst>
            <a:ext uri="{FF2B5EF4-FFF2-40B4-BE49-F238E27FC236}">
              <a16:creationId xmlns:a16="http://schemas.microsoft.com/office/drawing/2014/main" id="{332326E8-3243-418E-81C8-B279E651702D}"/>
            </a:ext>
          </a:extLst>
        </xdr:cNvPr>
        <xdr:cNvSpPr>
          <a:spLocks noChangeShapeType="1"/>
        </xdr:cNvSpPr>
      </xdr:nvSpPr>
      <xdr:spPr bwMode="auto">
        <a:xfrm flipH="1" flipV="1">
          <a:off x="2921000" y="10642600"/>
          <a:ext cx="2540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12700</xdr:colOff>
      <xdr:row>45</xdr:row>
      <xdr:rowOff>114300</xdr:rowOff>
    </xdr:from>
    <xdr:to>
      <xdr:col>4</xdr:col>
      <xdr:colOff>266700</xdr:colOff>
      <xdr:row>45</xdr:row>
      <xdr:rowOff>114300</xdr:rowOff>
    </xdr:to>
    <xdr:sp macro="" textlink="">
      <xdr:nvSpPr>
        <xdr:cNvPr id="63172" name="Line 18">
          <a:extLst>
            <a:ext uri="{FF2B5EF4-FFF2-40B4-BE49-F238E27FC236}">
              <a16:creationId xmlns:a16="http://schemas.microsoft.com/office/drawing/2014/main" id="{8893DB09-FDFF-474E-91BF-A97DB46E60D6}"/>
            </a:ext>
          </a:extLst>
        </xdr:cNvPr>
        <xdr:cNvSpPr>
          <a:spLocks noChangeShapeType="1"/>
        </xdr:cNvSpPr>
      </xdr:nvSpPr>
      <xdr:spPr bwMode="auto">
        <a:xfrm flipH="1" flipV="1">
          <a:off x="2933700" y="11004550"/>
          <a:ext cx="2540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254000</xdr:colOff>
      <xdr:row>33</xdr:row>
      <xdr:rowOff>114300</xdr:rowOff>
    </xdr:from>
    <xdr:to>
      <xdr:col>4</xdr:col>
      <xdr:colOff>254000</xdr:colOff>
      <xdr:row>45</xdr:row>
      <xdr:rowOff>127000</xdr:rowOff>
    </xdr:to>
    <xdr:sp macro="" textlink="">
      <xdr:nvSpPr>
        <xdr:cNvPr id="63173" name="Line 18">
          <a:extLst>
            <a:ext uri="{FF2B5EF4-FFF2-40B4-BE49-F238E27FC236}">
              <a16:creationId xmlns:a16="http://schemas.microsoft.com/office/drawing/2014/main" id="{5CD313D2-09A2-41AF-B27B-73795F7AC4E6}"/>
            </a:ext>
          </a:extLst>
        </xdr:cNvPr>
        <xdr:cNvSpPr>
          <a:spLocks noChangeShapeType="1"/>
        </xdr:cNvSpPr>
      </xdr:nvSpPr>
      <xdr:spPr bwMode="auto">
        <a:xfrm flipH="1">
          <a:off x="3175000" y="8515350"/>
          <a:ext cx="0" cy="25019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444500</xdr:colOff>
      <xdr:row>39</xdr:row>
      <xdr:rowOff>31750</xdr:rowOff>
    </xdr:from>
    <xdr:to>
      <xdr:col>19</xdr:col>
      <xdr:colOff>44450</xdr:colOff>
      <xdr:row>39</xdr:row>
      <xdr:rowOff>31750</xdr:rowOff>
    </xdr:to>
    <xdr:sp macro="" textlink="">
      <xdr:nvSpPr>
        <xdr:cNvPr id="63174" name="Line 18">
          <a:extLst>
            <a:ext uri="{FF2B5EF4-FFF2-40B4-BE49-F238E27FC236}">
              <a16:creationId xmlns:a16="http://schemas.microsoft.com/office/drawing/2014/main" id="{9DC42F15-EC58-4042-9406-69A852098AA4}"/>
            </a:ext>
          </a:extLst>
        </xdr:cNvPr>
        <xdr:cNvSpPr>
          <a:spLocks noChangeShapeType="1"/>
        </xdr:cNvSpPr>
      </xdr:nvSpPr>
      <xdr:spPr bwMode="auto">
        <a:xfrm flipH="1" flipV="1">
          <a:off x="6540500" y="9791700"/>
          <a:ext cx="128905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44450</xdr:colOff>
      <xdr:row>33</xdr:row>
      <xdr:rowOff>196850</xdr:rowOff>
    </xdr:from>
    <xdr:to>
      <xdr:col>19</xdr:col>
      <xdr:colOff>44450</xdr:colOff>
      <xdr:row>45</xdr:row>
      <xdr:rowOff>152400</xdr:rowOff>
    </xdr:to>
    <xdr:sp macro="" textlink="">
      <xdr:nvSpPr>
        <xdr:cNvPr id="63175" name="Line 18">
          <a:extLst>
            <a:ext uri="{FF2B5EF4-FFF2-40B4-BE49-F238E27FC236}">
              <a16:creationId xmlns:a16="http://schemas.microsoft.com/office/drawing/2014/main" id="{351021BA-7136-466D-BFE1-E52DBA0349CA}"/>
            </a:ext>
          </a:extLst>
        </xdr:cNvPr>
        <xdr:cNvSpPr>
          <a:spLocks noChangeShapeType="1"/>
        </xdr:cNvSpPr>
      </xdr:nvSpPr>
      <xdr:spPr bwMode="auto">
        <a:xfrm>
          <a:off x="7829550" y="8597900"/>
          <a:ext cx="0" cy="244475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63500</xdr:colOff>
      <xdr:row>33</xdr:row>
      <xdr:rowOff>222250</xdr:rowOff>
    </xdr:from>
    <xdr:to>
      <xdr:col>19</xdr:col>
      <xdr:colOff>444500</xdr:colOff>
      <xdr:row>33</xdr:row>
      <xdr:rowOff>222250</xdr:rowOff>
    </xdr:to>
    <xdr:sp macro="" textlink="">
      <xdr:nvSpPr>
        <xdr:cNvPr id="63176" name="Line 18">
          <a:extLst>
            <a:ext uri="{FF2B5EF4-FFF2-40B4-BE49-F238E27FC236}">
              <a16:creationId xmlns:a16="http://schemas.microsoft.com/office/drawing/2014/main" id="{5EE94F70-F929-4AB1-8F09-B8A90257FC17}"/>
            </a:ext>
          </a:extLst>
        </xdr:cNvPr>
        <xdr:cNvSpPr>
          <a:spLocks noChangeShapeType="1"/>
        </xdr:cNvSpPr>
      </xdr:nvSpPr>
      <xdr:spPr bwMode="auto">
        <a:xfrm flipH="1" flipV="1">
          <a:off x="7848600" y="8623300"/>
          <a:ext cx="3810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63500</xdr:colOff>
      <xdr:row>37</xdr:row>
      <xdr:rowOff>165100</xdr:rowOff>
    </xdr:from>
    <xdr:to>
      <xdr:col>19</xdr:col>
      <xdr:colOff>431800</xdr:colOff>
      <xdr:row>37</xdr:row>
      <xdr:rowOff>165100</xdr:rowOff>
    </xdr:to>
    <xdr:sp macro="" textlink="">
      <xdr:nvSpPr>
        <xdr:cNvPr id="63177" name="Line 18">
          <a:extLst>
            <a:ext uri="{FF2B5EF4-FFF2-40B4-BE49-F238E27FC236}">
              <a16:creationId xmlns:a16="http://schemas.microsoft.com/office/drawing/2014/main" id="{8BBBC722-20C4-4E5D-B8C9-4B114D14E784}"/>
            </a:ext>
          </a:extLst>
        </xdr:cNvPr>
        <xdr:cNvSpPr>
          <a:spLocks noChangeShapeType="1"/>
        </xdr:cNvSpPr>
      </xdr:nvSpPr>
      <xdr:spPr bwMode="auto">
        <a:xfrm flipH="1" flipV="1">
          <a:off x="7848600" y="9537700"/>
          <a:ext cx="3683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63500</xdr:colOff>
      <xdr:row>41</xdr:row>
      <xdr:rowOff>215900</xdr:rowOff>
    </xdr:from>
    <xdr:to>
      <xdr:col>19</xdr:col>
      <xdr:colOff>431800</xdr:colOff>
      <xdr:row>41</xdr:row>
      <xdr:rowOff>215900</xdr:rowOff>
    </xdr:to>
    <xdr:sp macro="" textlink="">
      <xdr:nvSpPr>
        <xdr:cNvPr id="63178" name="Line 18">
          <a:extLst>
            <a:ext uri="{FF2B5EF4-FFF2-40B4-BE49-F238E27FC236}">
              <a16:creationId xmlns:a16="http://schemas.microsoft.com/office/drawing/2014/main" id="{A8A41BDD-FD5D-4A84-A278-CB9A4D30649E}"/>
            </a:ext>
          </a:extLst>
        </xdr:cNvPr>
        <xdr:cNvSpPr>
          <a:spLocks noChangeShapeType="1"/>
        </xdr:cNvSpPr>
      </xdr:nvSpPr>
      <xdr:spPr bwMode="auto">
        <a:xfrm flipH="1" flipV="1">
          <a:off x="7848600" y="10356850"/>
          <a:ext cx="3683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50800</xdr:colOff>
      <xdr:row>45</xdr:row>
      <xdr:rowOff>146050</xdr:rowOff>
    </xdr:from>
    <xdr:to>
      <xdr:col>19</xdr:col>
      <xdr:colOff>444500</xdr:colOff>
      <xdr:row>45</xdr:row>
      <xdr:rowOff>146050</xdr:rowOff>
    </xdr:to>
    <xdr:sp macro="" textlink="">
      <xdr:nvSpPr>
        <xdr:cNvPr id="63179" name="Line 18">
          <a:extLst>
            <a:ext uri="{FF2B5EF4-FFF2-40B4-BE49-F238E27FC236}">
              <a16:creationId xmlns:a16="http://schemas.microsoft.com/office/drawing/2014/main" id="{348E7D5E-AB57-44B3-A528-37A4D3F892D7}"/>
            </a:ext>
          </a:extLst>
        </xdr:cNvPr>
        <xdr:cNvSpPr>
          <a:spLocks noChangeShapeType="1"/>
        </xdr:cNvSpPr>
      </xdr:nvSpPr>
      <xdr:spPr bwMode="auto">
        <a:xfrm flipH="1">
          <a:off x="7835900" y="11036300"/>
          <a:ext cx="3937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xdr:col>
      <xdr:colOff>2952750</xdr:colOff>
      <xdr:row>35</xdr:row>
      <xdr:rowOff>190500</xdr:rowOff>
    </xdr:from>
    <xdr:to>
      <xdr:col>4</xdr:col>
      <xdr:colOff>254000</xdr:colOff>
      <xdr:row>35</xdr:row>
      <xdr:rowOff>190500</xdr:rowOff>
    </xdr:to>
    <xdr:sp macro="" textlink="">
      <xdr:nvSpPr>
        <xdr:cNvPr id="63180" name="Line 18">
          <a:extLst>
            <a:ext uri="{FF2B5EF4-FFF2-40B4-BE49-F238E27FC236}">
              <a16:creationId xmlns:a16="http://schemas.microsoft.com/office/drawing/2014/main" id="{70AEBEF8-57B0-4234-B3DA-590886931CC4}"/>
            </a:ext>
          </a:extLst>
        </xdr:cNvPr>
        <xdr:cNvSpPr>
          <a:spLocks noChangeShapeType="1"/>
        </xdr:cNvSpPr>
      </xdr:nvSpPr>
      <xdr:spPr bwMode="auto">
        <a:xfrm flipH="1" flipV="1">
          <a:off x="2921000" y="9099550"/>
          <a:ext cx="2540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12700</xdr:colOff>
      <xdr:row>41</xdr:row>
      <xdr:rowOff>196850</xdr:rowOff>
    </xdr:from>
    <xdr:to>
      <xdr:col>4</xdr:col>
      <xdr:colOff>266700</xdr:colOff>
      <xdr:row>41</xdr:row>
      <xdr:rowOff>196850</xdr:rowOff>
    </xdr:to>
    <xdr:sp macro="" textlink="">
      <xdr:nvSpPr>
        <xdr:cNvPr id="63181" name="Line 18">
          <a:extLst>
            <a:ext uri="{FF2B5EF4-FFF2-40B4-BE49-F238E27FC236}">
              <a16:creationId xmlns:a16="http://schemas.microsoft.com/office/drawing/2014/main" id="{459A028A-E34F-4C81-BA1B-F1B682090735}"/>
            </a:ext>
          </a:extLst>
        </xdr:cNvPr>
        <xdr:cNvSpPr>
          <a:spLocks noChangeShapeType="1"/>
        </xdr:cNvSpPr>
      </xdr:nvSpPr>
      <xdr:spPr bwMode="auto">
        <a:xfrm flipH="1" flipV="1">
          <a:off x="2933700" y="10337800"/>
          <a:ext cx="2540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6:L37"/>
  <sheetViews>
    <sheetView showGridLines="0" showRowColHeaders="0" zoomScaleNormal="100" workbookViewId="0"/>
  </sheetViews>
  <sheetFormatPr defaultColWidth="9" defaultRowHeight="12.75" x14ac:dyDescent="0.2"/>
  <cols>
    <col min="1" max="1" width="2" customWidth="1"/>
    <col min="2" max="2" width="23.6640625" customWidth="1"/>
    <col min="3" max="3" width="32.33203125" customWidth="1"/>
    <col min="4" max="10" width="9.33203125" customWidth="1"/>
    <col min="11" max="11" width="6" customWidth="1"/>
    <col min="12" max="12" width="6.33203125" style="89" customWidth="1"/>
  </cols>
  <sheetData>
    <row r="6" spans="1:12" ht="22.5" customHeight="1" x14ac:dyDescent="0.2">
      <c r="B6" s="654" t="s">
        <v>648</v>
      </c>
    </row>
    <row r="7" spans="1:12" ht="24.75" customHeight="1" x14ac:dyDescent="0.2">
      <c r="B7" s="707" t="s">
        <v>637</v>
      </c>
      <c r="C7" s="707"/>
      <c r="D7" s="707"/>
      <c r="E7" s="707"/>
      <c r="F7" s="707"/>
      <c r="G7" s="707"/>
      <c r="H7" s="707"/>
      <c r="I7" s="707"/>
      <c r="J7" s="707"/>
      <c r="K7" s="707"/>
      <c r="L7" s="90"/>
    </row>
    <row r="8" spans="1:12" ht="24.75" customHeight="1" x14ac:dyDescent="0.3">
      <c r="B8" s="708" t="s">
        <v>647</v>
      </c>
      <c r="C8" s="708"/>
      <c r="D8" s="708"/>
      <c r="E8" s="708"/>
      <c r="F8" s="708"/>
      <c r="G8" s="708"/>
      <c r="H8" s="708"/>
      <c r="I8" s="708"/>
      <c r="J8" s="708"/>
      <c r="K8" s="708"/>
      <c r="L8" s="90"/>
    </row>
    <row r="10" spans="1:12" ht="18" x14ac:dyDescent="0.25">
      <c r="B10" s="121" t="s">
        <v>386</v>
      </c>
      <c r="C10" s="119"/>
      <c r="D10" s="3"/>
    </row>
    <row r="11" spans="1:12" ht="10.5" customHeight="1" x14ac:dyDescent="0.3">
      <c r="B11" s="4"/>
      <c r="C11" s="3"/>
      <c r="D11" s="3"/>
    </row>
    <row r="12" spans="1:12" s="22" customFormat="1" ht="16.5" customHeight="1" x14ac:dyDescent="0.25">
      <c r="A12" s="17"/>
      <c r="B12" s="709" t="s">
        <v>144</v>
      </c>
      <c r="C12" s="710"/>
      <c r="D12" s="710"/>
      <c r="E12" s="710"/>
      <c r="F12" s="710"/>
      <c r="G12" s="710"/>
      <c r="H12" s="710"/>
      <c r="I12" s="710"/>
      <c r="J12" s="710"/>
      <c r="K12" s="710"/>
      <c r="L12" s="89"/>
    </row>
    <row r="13" spans="1:12" ht="10.5" customHeight="1" x14ac:dyDescent="0.25">
      <c r="B13" s="115"/>
      <c r="C13" s="116"/>
      <c r="D13" s="115"/>
      <c r="E13" s="47"/>
      <c r="F13" s="115"/>
      <c r="G13" s="43"/>
      <c r="H13" s="43"/>
      <c r="I13" s="43"/>
      <c r="J13" s="43"/>
      <c r="K13" s="43"/>
    </row>
    <row r="14" spans="1:12" ht="15.75" customHeight="1" x14ac:dyDescent="0.25">
      <c r="B14" s="117" t="s">
        <v>145</v>
      </c>
      <c r="C14" s="711" t="s">
        <v>384</v>
      </c>
      <c r="D14" s="712"/>
      <c r="E14" s="712"/>
      <c r="F14" s="712"/>
      <c r="G14" s="712"/>
      <c r="H14" s="712"/>
      <c r="I14" s="712"/>
      <c r="J14" s="712"/>
      <c r="K14" s="713"/>
    </row>
    <row r="15" spans="1:12" ht="7.5" customHeight="1" x14ac:dyDescent="0.25">
      <c r="B15" s="118"/>
      <c r="C15" s="703"/>
      <c r="D15" s="704"/>
      <c r="E15" s="704"/>
      <c r="F15" s="704"/>
      <c r="G15" s="704"/>
      <c r="H15" s="704"/>
      <c r="I15" s="704"/>
      <c r="J15" s="704"/>
      <c r="K15" s="705"/>
    </row>
    <row r="16" spans="1:12" ht="15.75" customHeight="1" x14ac:dyDescent="0.25">
      <c r="B16" s="118" t="s">
        <v>146</v>
      </c>
      <c r="C16" s="703" t="s">
        <v>153</v>
      </c>
      <c r="D16" s="704"/>
      <c r="E16" s="704"/>
      <c r="F16" s="704"/>
      <c r="G16" s="704"/>
      <c r="H16" s="704"/>
      <c r="I16" s="704"/>
      <c r="J16" s="704"/>
      <c r="K16" s="705"/>
    </row>
    <row r="17" spans="2:12" ht="7.5" customHeight="1" x14ac:dyDescent="0.25">
      <c r="B17" s="118"/>
      <c r="C17" s="703"/>
      <c r="D17" s="704"/>
      <c r="E17" s="704"/>
      <c r="F17" s="704"/>
      <c r="G17" s="704"/>
      <c r="H17" s="704"/>
      <c r="I17" s="704"/>
      <c r="J17" s="704"/>
      <c r="K17" s="705"/>
    </row>
    <row r="18" spans="2:12" ht="15.75" customHeight="1" x14ac:dyDescent="0.25">
      <c r="B18" s="118" t="s">
        <v>147</v>
      </c>
      <c r="C18" s="703" t="s">
        <v>154</v>
      </c>
      <c r="D18" s="706"/>
      <c r="E18" s="706"/>
      <c r="F18" s="706"/>
      <c r="G18" s="706"/>
      <c r="H18" s="706"/>
      <c r="I18" s="706"/>
      <c r="J18" s="706"/>
      <c r="K18" s="706"/>
      <c r="L18" s="89" t="s">
        <v>451</v>
      </c>
    </row>
    <row r="19" spans="2:12" ht="7.5" customHeight="1" x14ac:dyDescent="0.25">
      <c r="B19" s="118"/>
      <c r="C19" s="703"/>
      <c r="D19" s="704"/>
      <c r="E19" s="704"/>
      <c r="F19" s="704"/>
      <c r="G19" s="704"/>
      <c r="H19" s="704"/>
      <c r="I19" s="704"/>
      <c r="J19" s="704"/>
      <c r="K19" s="705"/>
    </row>
    <row r="20" spans="2:12" ht="15.75" customHeight="1" x14ac:dyDescent="0.25">
      <c r="B20" s="118" t="s">
        <v>148</v>
      </c>
      <c r="C20" s="703" t="s">
        <v>71</v>
      </c>
      <c r="D20" s="706"/>
      <c r="E20" s="706"/>
      <c r="F20" s="706"/>
      <c r="G20" s="706"/>
      <c r="H20" s="706"/>
      <c r="I20" s="706"/>
      <c r="J20" s="706"/>
      <c r="K20" s="706"/>
      <c r="L20" s="89" t="s">
        <v>198</v>
      </c>
    </row>
    <row r="21" spans="2:12" ht="7.5" customHeight="1" x14ac:dyDescent="0.25">
      <c r="B21" s="118"/>
      <c r="C21" s="703"/>
      <c r="D21" s="715"/>
      <c r="E21" s="715"/>
      <c r="F21" s="715"/>
      <c r="G21" s="715"/>
      <c r="H21" s="715"/>
      <c r="I21" s="715"/>
      <c r="J21" s="715"/>
      <c r="K21" s="716"/>
    </row>
    <row r="22" spans="2:12" ht="15.75" customHeight="1" x14ac:dyDescent="0.25">
      <c r="B22" s="118" t="s">
        <v>149</v>
      </c>
      <c r="C22" s="703" t="s">
        <v>155</v>
      </c>
      <c r="D22" s="718"/>
      <c r="E22" s="718"/>
      <c r="F22" s="718"/>
      <c r="G22" s="718"/>
      <c r="H22" s="718"/>
      <c r="I22" s="718"/>
      <c r="J22" s="718"/>
      <c r="K22" s="718"/>
      <c r="L22" s="89" t="s">
        <v>454</v>
      </c>
    </row>
    <row r="23" spans="2:12" ht="7.5" customHeight="1" x14ac:dyDescent="0.25">
      <c r="B23" s="118"/>
      <c r="C23" s="703"/>
      <c r="D23" s="715"/>
      <c r="E23" s="715"/>
      <c r="F23" s="715"/>
      <c r="G23" s="715"/>
      <c r="H23" s="715"/>
      <c r="I23" s="715"/>
      <c r="J23" s="715"/>
      <c r="K23" s="716"/>
    </row>
    <row r="24" spans="2:12" ht="15.75" customHeight="1" x14ac:dyDescent="0.25">
      <c r="B24" s="118" t="s">
        <v>150</v>
      </c>
      <c r="C24" s="703" t="s">
        <v>156</v>
      </c>
      <c r="D24" s="715"/>
      <c r="E24" s="715"/>
      <c r="F24" s="715"/>
      <c r="G24" s="715"/>
      <c r="H24" s="715"/>
      <c r="I24" s="715"/>
      <c r="J24" s="715"/>
      <c r="K24" s="716"/>
      <c r="L24" s="89" t="s">
        <v>422</v>
      </c>
    </row>
    <row r="25" spans="2:12" ht="7.5" customHeight="1" x14ac:dyDescent="0.25">
      <c r="B25" s="118"/>
      <c r="C25" s="703"/>
      <c r="D25" s="715"/>
      <c r="E25" s="715"/>
      <c r="F25" s="715"/>
      <c r="G25" s="715"/>
      <c r="H25" s="715"/>
      <c r="I25" s="715"/>
      <c r="J25" s="715"/>
      <c r="K25" s="716"/>
    </row>
    <row r="26" spans="2:12" ht="15.75" customHeight="1" x14ac:dyDescent="0.25">
      <c r="B26" s="118" t="s">
        <v>151</v>
      </c>
      <c r="C26" s="717" t="s">
        <v>157</v>
      </c>
      <c r="D26" s="717"/>
      <c r="E26" s="717"/>
      <c r="F26" s="717"/>
      <c r="G26" s="717"/>
      <c r="H26" s="717"/>
      <c r="I26" s="717"/>
      <c r="J26" s="717"/>
      <c r="K26" s="717"/>
      <c r="L26" s="89" t="s">
        <v>455</v>
      </c>
    </row>
    <row r="27" spans="2:12" ht="7.5" customHeight="1" x14ac:dyDescent="0.25">
      <c r="B27" s="118"/>
      <c r="C27" s="703"/>
      <c r="D27" s="715"/>
      <c r="E27" s="715"/>
      <c r="F27" s="715"/>
      <c r="G27" s="715"/>
      <c r="H27" s="715"/>
      <c r="I27" s="715"/>
      <c r="J27" s="715"/>
      <c r="K27" s="716"/>
    </row>
    <row r="28" spans="2:12" ht="15.75" customHeight="1" x14ac:dyDescent="0.25">
      <c r="B28" s="120" t="s">
        <v>152</v>
      </c>
      <c r="C28" s="714" t="s">
        <v>158</v>
      </c>
      <c r="D28" s="714"/>
      <c r="E28" s="714"/>
      <c r="F28" s="714"/>
      <c r="G28" s="714"/>
      <c r="H28" s="714"/>
      <c r="I28" s="714"/>
      <c r="J28" s="714"/>
      <c r="K28" s="714"/>
    </row>
    <row r="29" spans="2:12" ht="27" customHeight="1" x14ac:dyDescent="0.2"/>
    <row r="30" spans="2:12" ht="27.75" customHeight="1" x14ac:dyDescent="0.2"/>
    <row r="31" spans="2:12" ht="27.75" customHeight="1" x14ac:dyDescent="0.2"/>
    <row r="32" spans="2:12" ht="30.75" customHeight="1" x14ac:dyDescent="0.2"/>
    <row r="33" spans="2:4" ht="26.25" customHeight="1" x14ac:dyDescent="0.2"/>
    <row r="34" spans="2:4" ht="32.25" customHeight="1" x14ac:dyDescent="0.2"/>
    <row r="35" spans="2:4" ht="40.5" customHeight="1" x14ac:dyDescent="0.2"/>
    <row r="36" spans="2:4" ht="28.5" customHeight="1" x14ac:dyDescent="0.2"/>
    <row r="37" spans="2:4" x14ac:dyDescent="0.2">
      <c r="B37" s="3"/>
      <c r="C37" s="3"/>
      <c r="D37" s="3"/>
    </row>
  </sheetData>
  <sheetProtection formatCells="0" formatColumns="0" formatRows="0" insertColumns="0"/>
  <mergeCells count="18">
    <mergeCell ref="C28:K28"/>
    <mergeCell ref="C23:K23"/>
    <mergeCell ref="C26:K26"/>
    <mergeCell ref="C25:K25"/>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honeticPr fontId="10" type="noConversion"/>
  <printOptions horizontalCentered="1"/>
  <pageMargins left="0.5" right="0.5" top="0.75" bottom="0.75" header="0.5" footer="0.5"/>
  <pageSetup paperSize="9" orientation="landscape"/>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autoPageBreaks="0" fitToPage="1"/>
  </sheetPr>
  <dimension ref="A1:R24"/>
  <sheetViews>
    <sheetView showGridLines="0" topLeftCell="C1" zoomScaleNormal="100" zoomScaleSheetLayoutView="85" workbookViewId="0">
      <selection activeCell="C1" sqref="C1"/>
    </sheetView>
  </sheetViews>
  <sheetFormatPr defaultColWidth="9" defaultRowHeight="12.75" x14ac:dyDescent="0.2"/>
  <cols>
    <col min="1" max="1" width="6.6640625" hidden="1" customWidth="1"/>
    <col min="2" max="2" width="4" style="31" hidden="1" customWidth="1"/>
    <col min="3" max="3" width="9.33203125" style="31" customWidth="1"/>
    <col min="4" max="7" width="9.33203125" customWidth="1"/>
    <col min="8" max="8" width="8.33203125" customWidth="1"/>
    <col min="9" max="10" width="9.33203125" customWidth="1"/>
    <col min="11" max="11" width="20.33203125" customWidth="1"/>
    <col min="12" max="12" width="9.33203125" customWidth="1"/>
    <col min="13" max="13" width="7.6640625" customWidth="1"/>
    <col min="14" max="15" width="9.33203125" customWidth="1"/>
    <col min="16" max="16" width="16" customWidth="1"/>
    <col min="17" max="17" width="9.33203125" customWidth="1"/>
    <col min="18" max="18" width="1.83203125" customWidth="1"/>
    <col min="19" max="20" width="9.33203125" customWidth="1"/>
    <col min="21" max="21" width="1.83203125" customWidth="1"/>
  </cols>
  <sheetData>
    <row r="1" spans="2:18" s="16" customFormat="1" ht="15.75" x14ac:dyDescent="0.25">
      <c r="B1" s="34"/>
      <c r="C1" s="35" t="s">
        <v>388</v>
      </c>
      <c r="D1" s="23"/>
      <c r="E1" s="23"/>
      <c r="F1" s="23"/>
      <c r="G1" s="24"/>
      <c r="H1" s="24"/>
      <c r="I1" s="24"/>
      <c r="J1" s="25"/>
      <c r="K1" s="25"/>
      <c r="L1" s="25"/>
      <c r="M1" s="24"/>
      <c r="N1" s="24"/>
      <c r="O1" s="24"/>
      <c r="P1" s="24"/>
    </row>
    <row r="2" spans="2:18" ht="6.75" customHeight="1" x14ac:dyDescent="0.2">
      <c r="D2" s="1"/>
      <c r="E2" s="1"/>
      <c r="F2" s="1"/>
      <c r="G2" s="2"/>
      <c r="H2" s="2"/>
      <c r="I2" s="2"/>
      <c r="M2" s="2"/>
      <c r="N2" s="2"/>
      <c r="O2" s="2"/>
      <c r="P2" s="2"/>
    </row>
    <row r="3" spans="2:18" s="32" customFormat="1" ht="15" x14ac:dyDescent="0.25">
      <c r="C3" s="27" t="s">
        <v>508</v>
      </c>
      <c r="D3" s="28"/>
      <c r="E3" s="28"/>
      <c r="F3" s="27"/>
      <c r="G3" s="27"/>
      <c r="H3" s="30"/>
      <c r="K3" s="29" t="s">
        <v>509</v>
      </c>
      <c r="L3" s="30"/>
      <c r="M3" s="30"/>
      <c r="N3" s="30"/>
      <c r="O3" s="27"/>
      <c r="P3" s="33"/>
      <c r="Q3" s="33"/>
      <c r="R3" s="33"/>
    </row>
    <row r="4" spans="2:18" ht="7.5" customHeight="1" x14ac:dyDescent="0.2">
      <c r="C4" s="44"/>
      <c r="D4" s="7"/>
      <c r="E4" s="7"/>
      <c r="F4" s="7"/>
      <c r="G4" s="5"/>
      <c r="H4" s="5"/>
      <c r="I4" s="5"/>
      <c r="J4" s="6"/>
      <c r="K4" s="6"/>
      <c r="L4" s="6"/>
      <c r="M4" s="5"/>
      <c r="N4" s="5"/>
      <c r="O4" s="5"/>
      <c r="P4" s="5"/>
    </row>
    <row r="5" spans="2:18" s="16" customFormat="1" ht="17.25" customHeight="1" x14ac:dyDescent="0.25">
      <c r="B5" s="34"/>
      <c r="C5" s="878" t="s">
        <v>17</v>
      </c>
      <c r="D5" s="879"/>
      <c r="E5" s="879"/>
      <c r="F5" s="879"/>
      <c r="G5" s="879"/>
      <c r="H5" s="879"/>
      <c r="I5" s="879"/>
      <c r="J5" s="879"/>
      <c r="K5" s="879"/>
      <c r="L5" s="879"/>
      <c r="M5" s="879"/>
      <c r="N5" s="26"/>
      <c r="O5" s="26"/>
      <c r="P5" s="26"/>
    </row>
    <row r="6" spans="2:18" ht="9.75" customHeight="1" x14ac:dyDescent="0.2"/>
    <row r="7" spans="2:18" ht="17.25" customHeight="1" x14ac:dyDescent="0.2">
      <c r="C7" s="880" t="s">
        <v>66</v>
      </c>
      <c r="D7" s="881"/>
      <c r="E7" s="881"/>
      <c r="F7" s="881"/>
      <c r="G7" s="881"/>
      <c r="H7" s="881"/>
      <c r="I7" s="881"/>
      <c r="J7" s="881"/>
      <c r="K7" s="881"/>
      <c r="L7" s="881"/>
      <c r="M7" s="881"/>
      <c r="N7" s="881"/>
      <c r="O7" s="881"/>
      <c r="P7" s="882"/>
    </row>
    <row r="8" spans="2:18" ht="25.5" customHeight="1" x14ac:dyDescent="0.2">
      <c r="C8" s="886"/>
      <c r="D8" s="887"/>
      <c r="E8" s="887"/>
      <c r="F8" s="887"/>
      <c r="G8" s="887"/>
      <c r="H8" s="887"/>
      <c r="I8" s="887"/>
      <c r="J8" s="887"/>
      <c r="K8" s="887"/>
      <c r="L8" s="887"/>
      <c r="M8" s="887"/>
      <c r="N8" s="887"/>
      <c r="O8" s="887"/>
      <c r="P8" s="888"/>
    </row>
    <row r="9" spans="2:18" ht="39" customHeight="1" x14ac:dyDescent="0.2">
      <c r="C9" s="883" t="s">
        <v>67</v>
      </c>
      <c r="D9" s="884"/>
      <c r="E9" s="884"/>
      <c r="F9" s="884"/>
      <c r="G9" s="884"/>
      <c r="H9" s="884"/>
      <c r="I9" s="884"/>
      <c r="J9" s="884"/>
      <c r="K9" s="884"/>
      <c r="L9" s="884"/>
      <c r="M9" s="884"/>
      <c r="N9" s="884"/>
      <c r="O9" s="884"/>
      <c r="P9" s="885"/>
    </row>
    <row r="10" spans="2:18" ht="15" customHeight="1" x14ac:dyDescent="0.2">
      <c r="C10" s="889"/>
      <c r="D10" s="890"/>
      <c r="E10" s="890"/>
      <c r="F10" s="890"/>
      <c r="G10" s="890"/>
      <c r="H10" s="890"/>
      <c r="I10" s="890"/>
      <c r="J10" s="890"/>
      <c r="K10" s="890"/>
      <c r="L10" s="890"/>
      <c r="M10" s="890"/>
      <c r="N10" s="890"/>
      <c r="O10" s="890"/>
      <c r="P10" s="891"/>
    </row>
    <row r="11" spans="2:18" ht="15" customHeight="1" x14ac:dyDescent="0.2">
      <c r="C11" s="889"/>
      <c r="D11" s="890"/>
      <c r="E11" s="890"/>
      <c r="F11" s="890"/>
      <c r="G11" s="890"/>
      <c r="H11" s="890"/>
      <c r="I11" s="890"/>
      <c r="J11" s="890"/>
      <c r="K11" s="890"/>
      <c r="L11" s="890"/>
      <c r="M11" s="890"/>
      <c r="N11" s="890"/>
      <c r="O11" s="890"/>
      <c r="P11" s="891"/>
    </row>
    <row r="12" spans="2:18" ht="15" customHeight="1" x14ac:dyDescent="0.2">
      <c r="C12" s="889"/>
      <c r="D12" s="890"/>
      <c r="E12" s="890"/>
      <c r="F12" s="890"/>
      <c r="G12" s="890"/>
      <c r="H12" s="890"/>
      <c r="I12" s="890"/>
      <c r="J12" s="890"/>
      <c r="K12" s="890"/>
      <c r="L12" s="890"/>
      <c r="M12" s="890"/>
      <c r="N12" s="890"/>
      <c r="O12" s="890"/>
      <c r="P12" s="891"/>
    </row>
    <row r="13" spans="2:18" ht="15" customHeight="1" x14ac:dyDescent="0.2">
      <c r="C13" s="889"/>
      <c r="D13" s="892"/>
      <c r="E13" s="892"/>
      <c r="F13" s="892"/>
      <c r="G13" s="892"/>
      <c r="H13" s="892"/>
      <c r="I13" s="892"/>
      <c r="J13" s="892"/>
      <c r="K13" s="892"/>
      <c r="L13" s="892"/>
      <c r="M13" s="892"/>
      <c r="N13" s="892"/>
      <c r="O13" s="892"/>
      <c r="P13" s="893"/>
    </row>
    <row r="14" spans="2:18" ht="15" customHeight="1" x14ac:dyDescent="0.2">
      <c r="C14" s="889"/>
      <c r="D14" s="890"/>
      <c r="E14" s="890"/>
      <c r="F14" s="890"/>
      <c r="G14" s="890"/>
      <c r="H14" s="890"/>
      <c r="I14" s="890"/>
      <c r="J14" s="890"/>
      <c r="K14" s="890"/>
      <c r="L14" s="890"/>
      <c r="M14" s="890"/>
      <c r="N14" s="890"/>
      <c r="O14" s="890"/>
      <c r="P14" s="891"/>
    </row>
    <row r="15" spans="2:18" ht="15" customHeight="1" x14ac:dyDescent="0.2">
      <c r="C15" s="889"/>
      <c r="D15" s="890"/>
      <c r="E15" s="890"/>
      <c r="F15" s="890"/>
      <c r="G15" s="890"/>
      <c r="H15" s="890"/>
      <c r="I15" s="890"/>
      <c r="J15" s="890"/>
      <c r="K15" s="890"/>
      <c r="L15" s="890"/>
      <c r="M15" s="890"/>
      <c r="N15" s="890"/>
      <c r="O15" s="890"/>
      <c r="P15" s="891"/>
    </row>
    <row r="16" spans="2:18" ht="15" customHeight="1" x14ac:dyDescent="0.2">
      <c r="C16" s="889"/>
      <c r="D16" s="890"/>
      <c r="E16" s="890"/>
      <c r="F16" s="890"/>
      <c r="G16" s="890"/>
      <c r="H16" s="890"/>
      <c r="I16" s="890"/>
      <c r="J16" s="890"/>
      <c r="K16" s="890"/>
      <c r="L16" s="890"/>
      <c r="M16" s="890"/>
      <c r="N16" s="890"/>
      <c r="O16" s="890"/>
      <c r="P16" s="891"/>
    </row>
    <row r="17" spans="3:16" ht="15" customHeight="1" x14ac:dyDescent="0.2">
      <c r="C17" s="889"/>
      <c r="D17" s="892"/>
      <c r="E17" s="892"/>
      <c r="F17" s="892"/>
      <c r="G17" s="892"/>
      <c r="H17" s="892"/>
      <c r="I17" s="892"/>
      <c r="J17" s="892"/>
      <c r="K17" s="892"/>
      <c r="L17" s="892"/>
      <c r="M17" s="892"/>
      <c r="N17" s="892"/>
      <c r="O17" s="892"/>
      <c r="P17" s="893"/>
    </row>
    <row r="18" spans="3:16" ht="15" customHeight="1" x14ac:dyDescent="0.2">
      <c r="C18" s="889"/>
      <c r="D18" s="892"/>
      <c r="E18" s="892"/>
      <c r="F18" s="892"/>
      <c r="G18" s="892"/>
      <c r="H18" s="892"/>
      <c r="I18" s="892"/>
      <c r="J18" s="892"/>
      <c r="K18" s="892"/>
      <c r="L18" s="892"/>
      <c r="M18" s="892"/>
      <c r="N18" s="892"/>
      <c r="O18" s="892"/>
      <c r="P18" s="893"/>
    </row>
    <row r="19" spans="3:16" ht="15" customHeight="1" x14ac:dyDescent="0.2">
      <c r="C19" s="880" t="s">
        <v>68</v>
      </c>
      <c r="D19" s="881"/>
      <c r="E19" s="881"/>
      <c r="F19" s="881"/>
      <c r="G19" s="881"/>
      <c r="H19" s="881"/>
      <c r="I19" s="881"/>
      <c r="J19" s="881"/>
      <c r="K19" s="881"/>
      <c r="L19" s="881"/>
      <c r="M19" s="881"/>
      <c r="N19" s="881"/>
      <c r="O19" s="881"/>
      <c r="P19" s="882"/>
    </row>
    <row r="20" spans="3:16" ht="15" customHeight="1" x14ac:dyDescent="0.2">
      <c r="C20" s="889"/>
      <c r="D20" s="897"/>
      <c r="E20" s="897"/>
      <c r="F20" s="897"/>
      <c r="G20" s="897"/>
      <c r="H20" s="897"/>
      <c r="I20" s="897"/>
      <c r="J20" s="897"/>
      <c r="K20" s="897"/>
      <c r="L20" s="897"/>
      <c r="M20" s="897"/>
      <c r="N20" s="897"/>
      <c r="O20" s="897"/>
      <c r="P20" s="898"/>
    </row>
    <row r="21" spans="3:16" ht="15" customHeight="1" x14ac:dyDescent="0.2">
      <c r="C21" s="889"/>
      <c r="D21" s="897"/>
      <c r="E21" s="897"/>
      <c r="F21" s="897"/>
      <c r="G21" s="897"/>
      <c r="H21" s="897"/>
      <c r="I21" s="897"/>
      <c r="J21" s="897"/>
      <c r="K21" s="897"/>
      <c r="L21" s="897"/>
      <c r="M21" s="897"/>
      <c r="N21" s="897"/>
      <c r="O21" s="897"/>
      <c r="P21" s="898"/>
    </row>
    <row r="22" spans="3:16" ht="15" customHeight="1" x14ac:dyDescent="0.2">
      <c r="C22" s="889"/>
      <c r="D22" s="897"/>
      <c r="E22" s="897"/>
      <c r="F22" s="897"/>
      <c r="G22" s="897"/>
      <c r="H22" s="897"/>
      <c r="I22" s="897"/>
      <c r="J22" s="897"/>
      <c r="K22" s="897"/>
      <c r="L22" s="897"/>
      <c r="M22" s="897"/>
      <c r="N22" s="897"/>
      <c r="O22" s="897"/>
      <c r="P22" s="898"/>
    </row>
    <row r="23" spans="3:16" ht="15" customHeight="1" x14ac:dyDescent="0.2">
      <c r="C23" s="889"/>
      <c r="D23" s="897"/>
      <c r="E23" s="897"/>
      <c r="F23" s="897"/>
      <c r="G23" s="897"/>
      <c r="H23" s="897"/>
      <c r="I23" s="897"/>
      <c r="J23" s="897"/>
      <c r="K23" s="897"/>
      <c r="L23" s="897"/>
      <c r="M23" s="897"/>
      <c r="N23" s="897"/>
      <c r="O23" s="897"/>
      <c r="P23" s="898"/>
    </row>
    <row r="24" spans="3:16" ht="15" customHeight="1" x14ac:dyDescent="0.2">
      <c r="C24" s="894"/>
      <c r="D24" s="895"/>
      <c r="E24" s="895"/>
      <c r="F24" s="895"/>
      <c r="G24" s="895"/>
      <c r="H24" s="895"/>
      <c r="I24" s="895"/>
      <c r="J24" s="895"/>
      <c r="K24" s="895"/>
      <c r="L24" s="895"/>
      <c r="M24" s="895"/>
      <c r="N24" s="895"/>
      <c r="O24" s="895"/>
      <c r="P24" s="896"/>
    </row>
  </sheetData>
  <sheetProtection formatCells="0" formatColumns="0" formatRows="0" insertColumns="0"/>
  <mergeCells count="19">
    <mergeCell ref="C14:P14"/>
    <mergeCell ref="C11:P11"/>
    <mergeCell ref="C12:P12"/>
    <mergeCell ref="C13:P13"/>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s>
  <phoneticPr fontId="10" type="noConversion"/>
  <printOptions horizontalCentered="1"/>
  <pageMargins left="0.5" right="0.5" top="0.75" bottom="0.75" header="0.5" footer="0.5"/>
  <pageSetup paperSize="9" firstPageNumber="25" orientation="landscape"/>
  <headerFooter alignWithMargins="0">
    <oddFooter>&amp;C&amp;"Arial,Regular"UNSD/Programa de las Naciones Unidas para el Medio Ambiente Cuestionario 2018 Estadisticas Ambientales -  Sección del Agua -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L71"/>
  <sheetViews>
    <sheetView showGridLines="0" topLeftCell="A60" zoomScaleNormal="100" zoomScaleSheetLayoutView="85" zoomScalePageLayoutView="70" workbookViewId="0">
      <selection activeCell="C71" sqref="C71"/>
    </sheetView>
  </sheetViews>
  <sheetFormatPr defaultColWidth="9" defaultRowHeight="12.75" x14ac:dyDescent="0.2"/>
  <cols>
    <col min="1" max="1" width="3.33203125" customWidth="1"/>
    <col min="2" max="2" width="12.83203125" customWidth="1"/>
    <col min="3" max="3" width="20" customWidth="1"/>
    <col min="4" max="6" width="15.83203125" customWidth="1"/>
    <col min="7" max="7" width="11.33203125" customWidth="1"/>
    <col min="8" max="9" width="9.33203125" customWidth="1"/>
    <col min="10" max="10" width="16.83203125" customWidth="1"/>
    <col min="11" max="11" width="27.33203125" customWidth="1"/>
  </cols>
  <sheetData>
    <row r="1" spans="1:11" ht="15.75" x14ac:dyDescent="0.25">
      <c r="A1" s="31"/>
      <c r="B1" s="133" t="s">
        <v>388</v>
      </c>
    </row>
    <row r="2" spans="1:11" ht="9.75" customHeight="1" x14ac:dyDescent="0.2"/>
    <row r="3" spans="1:11" s="16" customFormat="1" ht="16.5" customHeight="1" x14ac:dyDescent="0.2">
      <c r="B3" s="721" t="s">
        <v>159</v>
      </c>
      <c r="C3" s="721"/>
      <c r="D3" s="721"/>
      <c r="E3" s="721"/>
      <c r="F3" s="721"/>
      <c r="G3" s="721"/>
      <c r="H3" s="721"/>
      <c r="I3" s="721"/>
      <c r="J3" s="721"/>
      <c r="K3" s="721"/>
    </row>
    <row r="4" spans="1:11" ht="9.75" customHeight="1" x14ac:dyDescent="0.25">
      <c r="C4" s="11"/>
    </row>
    <row r="5" spans="1:11" s="16" customFormat="1" ht="15.75" x14ac:dyDescent="0.25">
      <c r="B5" s="724" t="s">
        <v>160</v>
      </c>
      <c r="C5" s="724"/>
      <c r="D5" s="724"/>
      <c r="E5" s="724"/>
      <c r="F5" s="724"/>
      <c r="G5" s="724"/>
      <c r="H5" s="724"/>
      <c r="I5" s="724"/>
      <c r="J5" s="724"/>
      <c r="K5" s="724"/>
    </row>
    <row r="6" spans="1:11" ht="7.5" customHeight="1" x14ac:dyDescent="0.25">
      <c r="B6" s="12"/>
      <c r="C6" s="13"/>
      <c r="D6" s="8"/>
      <c r="F6" s="8"/>
      <c r="G6" s="6"/>
      <c r="H6" s="6"/>
      <c r="I6" s="6"/>
      <c r="J6" s="6"/>
    </row>
    <row r="7" spans="1:11" s="9" customFormat="1" ht="40.5" customHeight="1" x14ac:dyDescent="0.2">
      <c r="B7" s="725" t="s">
        <v>638</v>
      </c>
      <c r="C7" s="725"/>
      <c r="D7" s="725"/>
      <c r="E7" s="725"/>
      <c r="F7" s="725"/>
      <c r="G7" s="725"/>
      <c r="H7" s="725"/>
      <c r="I7" s="725"/>
      <c r="J7" s="725"/>
      <c r="K7" s="725"/>
    </row>
    <row r="8" spans="1:11" s="9" customFormat="1" ht="7.5" customHeight="1" x14ac:dyDescent="0.2">
      <c r="B8" s="122"/>
      <c r="C8" s="123"/>
      <c r="D8" s="124"/>
      <c r="E8" s="10"/>
      <c r="F8" s="124"/>
      <c r="G8" s="125"/>
      <c r="H8" s="125"/>
      <c r="I8" s="125"/>
      <c r="J8" s="125"/>
      <c r="K8" s="10"/>
    </row>
    <row r="9" spans="1:11" s="9" customFormat="1" ht="25.5" customHeight="1" x14ac:dyDescent="0.2">
      <c r="B9" s="725" t="s">
        <v>72</v>
      </c>
      <c r="C9" s="725"/>
      <c r="D9" s="725"/>
      <c r="E9" s="725"/>
      <c r="F9" s="725"/>
      <c r="G9" s="725"/>
      <c r="H9" s="725"/>
      <c r="I9" s="725"/>
      <c r="J9" s="725"/>
      <c r="K9" s="725"/>
    </row>
    <row r="10" spans="1:11" s="9" customFormat="1" ht="4.5" customHeight="1" x14ac:dyDescent="0.2">
      <c r="B10" s="126"/>
      <c r="C10" s="126"/>
      <c r="D10" s="126"/>
      <c r="E10" s="126"/>
      <c r="F10" s="126"/>
      <c r="G10" s="126"/>
      <c r="H10" s="126"/>
      <c r="I10" s="126"/>
      <c r="J10" s="126"/>
      <c r="K10" s="126"/>
    </row>
    <row r="11" spans="1:11" s="2" customFormat="1" ht="39" customHeight="1" x14ac:dyDescent="0.2">
      <c r="B11" s="725" t="s">
        <v>649</v>
      </c>
      <c r="C11" s="725"/>
      <c r="D11" s="725"/>
      <c r="E11" s="725"/>
      <c r="F11" s="725"/>
      <c r="G11" s="725"/>
      <c r="H11" s="725"/>
      <c r="I11" s="725"/>
      <c r="J11" s="725"/>
      <c r="K11" s="725"/>
    </row>
    <row r="12" spans="1:11" s="9" customFormat="1" ht="4.5" customHeight="1" x14ac:dyDescent="0.2">
      <c r="B12" s="123"/>
      <c r="C12" s="123"/>
      <c r="D12" s="123"/>
      <c r="E12" s="123"/>
      <c r="F12" s="123"/>
      <c r="G12" s="123"/>
      <c r="H12" s="123"/>
      <c r="I12" s="123"/>
      <c r="J12" s="123"/>
      <c r="K12" s="123"/>
    </row>
    <row r="13" spans="1:11" s="9" customFormat="1" ht="25.5" customHeight="1" x14ac:dyDescent="0.2">
      <c r="B13" s="725" t="s">
        <v>161</v>
      </c>
      <c r="C13" s="725"/>
      <c r="D13" s="725"/>
      <c r="E13" s="725"/>
      <c r="F13" s="725"/>
      <c r="G13" s="725"/>
      <c r="H13" s="725"/>
      <c r="I13" s="725"/>
      <c r="J13" s="725"/>
      <c r="K13" s="725"/>
    </row>
    <row r="14" spans="1:11" s="9" customFormat="1" ht="4.5" customHeight="1" x14ac:dyDescent="0.2">
      <c r="B14" s="123"/>
      <c r="C14" s="123"/>
      <c r="D14" s="123"/>
      <c r="E14" s="123"/>
      <c r="F14" s="123"/>
      <c r="G14" s="123"/>
      <c r="H14" s="123"/>
      <c r="I14" s="123"/>
      <c r="J14" s="123"/>
      <c r="K14" s="123"/>
    </row>
    <row r="15" spans="1:11" s="51" customFormat="1" ht="26.25" customHeight="1" x14ac:dyDescent="0.2">
      <c r="B15" s="722" t="s">
        <v>636</v>
      </c>
      <c r="C15" s="722"/>
      <c r="D15" s="722"/>
      <c r="E15" s="722"/>
      <c r="F15" s="722"/>
      <c r="G15" s="722"/>
      <c r="H15" s="722"/>
      <c r="I15" s="722"/>
      <c r="J15" s="722"/>
      <c r="K15" s="722"/>
    </row>
    <row r="16" spans="1:11" s="9" customFormat="1" ht="4.5" customHeight="1" x14ac:dyDescent="0.2">
      <c r="B16" s="40"/>
      <c r="C16" s="40"/>
      <c r="D16" s="40"/>
      <c r="E16" s="40"/>
      <c r="F16" s="40"/>
      <c r="G16" s="40"/>
      <c r="H16" s="40"/>
      <c r="I16" s="40"/>
      <c r="J16" s="40"/>
      <c r="K16" s="40"/>
    </row>
    <row r="17" spans="2:11" s="9" customFormat="1" ht="40.5" customHeight="1" x14ac:dyDescent="0.2">
      <c r="B17" s="722" t="s">
        <v>387</v>
      </c>
      <c r="C17" s="722"/>
      <c r="D17" s="722"/>
      <c r="E17" s="722"/>
      <c r="F17" s="722"/>
      <c r="G17" s="722"/>
      <c r="H17" s="722"/>
      <c r="I17" s="722"/>
      <c r="J17" s="722"/>
      <c r="K17" s="722"/>
    </row>
    <row r="18" spans="2:11" s="9" customFormat="1" ht="4.5" customHeight="1" x14ac:dyDescent="0.2">
      <c r="B18" s="126"/>
      <c r="C18" s="126"/>
      <c r="D18" s="126"/>
      <c r="E18" s="126"/>
      <c r="F18" s="126"/>
      <c r="G18" s="126"/>
      <c r="H18" s="126"/>
      <c r="I18" s="126"/>
      <c r="J18" s="126"/>
      <c r="K18" s="126"/>
    </row>
    <row r="19" spans="2:11" s="9" customFormat="1" ht="26.25" customHeight="1" x14ac:dyDescent="0.2">
      <c r="B19" s="719" t="s">
        <v>73</v>
      </c>
      <c r="C19" s="719"/>
      <c r="D19" s="719"/>
      <c r="E19" s="719"/>
      <c r="F19" s="719"/>
      <c r="G19" s="719"/>
      <c r="H19" s="719"/>
      <c r="I19" s="719"/>
      <c r="J19" s="719"/>
      <c r="K19" s="719"/>
    </row>
    <row r="20" spans="2:11" s="9" customFormat="1" ht="4.5" customHeight="1" x14ac:dyDescent="0.2">
      <c r="B20" s="127"/>
      <c r="C20" s="127"/>
      <c r="D20" s="127"/>
      <c r="E20" s="127"/>
      <c r="F20" s="127"/>
      <c r="G20" s="127"/>
      <c r="H20" s="127"/>
      <c r="I20" s="127"/>
      <c r="J20" s="127"/>
      <c r="K20" s="127"/>
    </row>
    <row r="21" spans="2:11" s="9" customFormat="1" ht="29.25" customHeight="1" x14ac:dyDescent="0.2">
      <c r="B21" s="723" t="s">
        <v>560</v>
      </c>
      <c r="C21" s="723"/>
      <c r="D21" s="723"/>
      <c r="E21" s="723"/>
      <c r="F21" s="723"/>
      <c r="G21" s="723"/>
      <c r="H21" s="723"/>
      <c r="I21" s="723"/>
      <c r="J21" s="723"/>
      <c r="K21" s="723"/>
    </row>
    <row r="22" spans="2:11" s="9" customFormat="1" ht="26.25" customHeight="1" x14ac:dyDescent="0.2">
      <c r="B22" s="723" t="s">
        <v>74</v>
      </c>
      <c r="C22" s="723"/>
      <c r="D22" s="723"/>
      <c r="E22" s="723"/>
      <c r="F22" s="723"/>
      <c r="G22" s="723"/>
      <c r="H22" s="723"/>
      <c r="I22" s="723"/>
      <c r="J22" s="723"/>
      <c r="K22" s="723"/>
    </row>
    <row r="23" spans="2:11" s="9" customFormat="1" ht="6.75" customHeight="1" x14ac:dyDescent="0.2">
      <c r="B23" s="128"/>
      <c r="C23" s="40"/>
      <c r="D23" s="40"/>
      <c r="E23" s="40"/>
      <c r="F23" s="40"/>
      <c r="G23" s="40"/>
      <c r="H23" s="40"/>
      <c r="I23" s="40"/>
      <c r="J23" s="40"/>
      <c r="K23" s="40"/>
    </row>
    <row r="24" spans="2:11" s="9" customFormat="1" ht="38.25" customHeight="1" x14ac:dyDescent="0.2">
      <c r="B24" s="719" t="s">
        <v>597</v>
      </c>
      <c r="C24" s="719"/>
      <c r="D24" s="719"/>
      <c r="E24" s="719"/>
      <c r="F24" s="719"/>
      <c r="G24" s="719"/>
      <c r="H24" s="719"/>
      <c r="I24" s="719"/>
      <c r="J24" s="719"/>
      <c r="K24" s="719"/>
    </row>
    <row r="25" spans="2:11" s="9" customFormat="1" ht="15.6" customHeight="1" x14ac:dyDescent="0.2">
      <c r="B25" s="728" t="s">
        <v>650</v>
      </c>
      <c r="C25" s="729"/>
      <c r="D25" s="729"/>
      <c r="E25" s="729"/>
      <c r="F25" s="729"/>
      <c r="G25" s="729"/>
      <c r="H25" s="729"/>
      <c r="I25" s="729"/>
      <c r="J25" s="729"/>
      <c r="K25" s="729"/>
    </row>
    <row r="26" spans="2:11" s="9" customFormat="1" ht="44.1" customHeight="1" x14ac:dyDescent="0.2">
      <c r="B26" s="719" t="s">
        <v>683</v>
      </c>
      <c r="C26" s="719"/>
      <c r="D26" s="719"/>
      <c r="E26" s="719"/>
      <c r="F26" s="719"/>
      <c r="G26" s="719"/>
      <c r="H26" s="719"/>
      <c r="I26" s="719"/>
      <c r="J26" s="719"/>
      <c r="K26" s="719"/>
    </row>
    <row r="27" spans="2:11" ht="10.5" customHeight="1" x14ac:dyDescent="0.2">
      <c r="B27" s="127"/>
      <c r="C27" s="127"/>
      <c r="D27" s="127"/>
      <c r="E27" s="127"/>
      <c r="F27" s="127"/>
      <c r="G27" s="127"/>
      <c r="H27" s="127"/>
      <c r="I27" s="127"/>
      <c r="J27" s="127"/>
      <c r="K27" s="127"/>
    </row>
    <row r="28" spans="2:11" s="9" customFormat="1" ht="8.25" customHeight="1" x14ac:dyDescent="0.2">
      <c r="B28" s="719"/>
      <c r="C28" s="719"/>
      <c r="D28" s="719"/>
      <c r="E28" s="719"/>
      <c r="F28" s="719"/>
      <c r="G28" s="719"/>
      <c r="H28" s="719"/>
      <c r="I28" s="719"/>
      <c r="J28" s="719"/>
      <c r="K28" s="719"/>
    </row>
    <row r="29" spans="2:11" ht="0.75" customHeight="1" x14ac:dyDescent="0.2">
      <c r="B29" s="130"/>
      <c r="C29" s="131"/>
      <c r="D29" s="131"/>
      <c r="E29" s="131"/>
      <c r="F29" s="131"/>
      <c r="G29" s="131"/>
      <c r="H29" s="131"/>
      <c r="I29" s="131"/>
      <c r="J29" s="131"/>
      <c r="K29" s="132"/>
    </row>
    <row r="30" spans="2:11" s="16" customFormat="1" ht="15.75" x14ac:dyDescent="0.25">
      <c r="B30" s="727" t="s">
        <v>162</v>
      </c>
      <c r="C30" s="727"/>
      <c r="D30" s="727"/>
      <c r="E30" s="727"/>
      <c r="F30" s="727"/>
      <c r="G30" s="727"/>
      <c r="H30" s="727"/>
      <c r="I30" s="727"/>
      <c r="J30" s="727"/>
      <c r="K30" s="727"/>
    </row>
    <row r="31" spans="2:11" ht="7.5" customHeight="1" x14ac:dyDescent="0.25">
      <c r="B31" s="91"/>
      <c r="C31" s="36"/>
      <c r="D31" s="91"/>
      <c r="E31" s="36"/>
      <c r="F31" s="91"/>
      <c r="G31" s="36"/>
      <c r="H31" s="91"/>
      <c r="I31" s="36"/>
      <c r="J31" s="91"/>
      <c r="K31" s="36"/>
    </row>
    <row r="32" spans="2:11" ht="7.5" customHeight="1" x14ac:dyDescent="0.2">
      <c r="B32" s="739"/>
      <c r="C32" s="739"/>
      <c r="D32" s="739"/>
      <c r="E32" s="739"/>
      <c r="F32" s="739"/>
      <c r="G32" s="739"/>
      <c r="H32" s="739"/>
      <c r="I32" s="739"/>
      <c r="J32" s="739"/>
      <c r="K32" s="739"/>
    </row>
    <row r="33" spans="2:11" s="51" customFormat="1" ht="15.75" customHeight="1" x14ac:dyDescent="0.2">
      <c r="B33" s="134" t="s">
        <v>202</v>
      </c>
      <c r="C33" s="720" t="s">
        <v>389</v>
      </c>
      <c r="D33" s="720"/>
      <c r="E33" s="720"/>
      <c r="F33" s="720"/>
      <c r="G33" s="720"/>
      <c r="H33" s="720"/>
      <c r="I33" s="720"/>
      <c r="J33" s="720"/>
      <c r="K33" s="720"/>
    </row>
    <row r="34" spans="2:11" s="51" customFormat="1" ht="26.25" customHeight="1" x14ac:dyDescent="0.2">
      <c r="B34" s="134" t="s">
        <v>202</v>
      </c>
      <c r="C34" s="720" t="s">
        <v>639</v>
      </c>
      <c r="D34" s="720"/>
      <c r="E34" s="720"/>
      <c r="F34" s="720"/>
      <c r="G34" s="720"/>
      <c r="H34" s="720"/>
      <c r="I34" s="720"/>
      <c r="J34" s="720"/>
      <c r="K34" s="720"/>
    </row>
    <row r="35" spans="2:11" s="41" customFormat="1" ht="68.25" customHeight="1" x14ac:dyDescent="0.2">
      <c r="B35" s="134" t="s">
        <v>202</v>
      </c>
      <c r="C35" s="720" t="s">
        <v>390</v>
      </c>
      <c r="D35" s="720"/>
      <c r="E35" s="720"/>
      <c r="F35" s="720"/>
      <c r="G35" s="720"/>
      <c r="H35" s="720"/>
      <c r="I35" s="720"/>
      <c r="J35" s="720"/>
      <c r="K35" s="720"/>
    </row>
    <row r="36" spans="2:11" s="51" customFormat="1" ht="42.75" customHeight="1" x14ac:dyDescent="0.2">
      <c r="B36" s="136" t="s">
        <v>202</v>
      </c>
      <c r="C36" s="720" t="s">
        <v>391</v>
      </c>
      <c r="D36" s="720"/>
      <c r="E36" s="720"/>
      <c r="F36" s="720"/>
      <c r="G36" s="720"/>
      <c r="H36" s="720"/>
      <c r="I36" s="720"/>
      <c r="J36" s="720"/>
      <c r="K36" s="720"/>
    </row>
    <row r="37" spans="2:11" s="51" customFormat="1" ht="27.75" customHeight="1" x14ac:dyDescent="0.2">
      <c r="B37" s="136" t="s">
        <v>202</v>
      </c>
      <c r="C37" s="731" t="s">
        <v>75</v>
      </c>
      <c r="D37" s="731"/>
      <c r="E37" s="731"/>
      <c r="F37" s="731"/>
      <c r="G37" s="731"/>
      <c r="H37" s="731"/>
      <c r="I37" s="731"/>
      <c r="J37" s="731"/>
      <c r="K37" s="731"/>
    </row>
    <row r="38" spans="2:11" s="9" customFormat="1" ht="15.75" customHeight="1" x14ac:dyDescent="0.2">
      <c r="B38" s="136" t="s">
        <v>202</v>
      </c>
      <c r="C38" s="720" t="s">
        <v>76</v>
      </c>
      <c r="D38" s="720"/>
      <c r="E38" s="720"/>
      <c r="F38" s="720"/>
      <c r="G38" s="720"/>
      <c r="H38" s="720"/>
      <c r="I38" s="720"/>
      <c r="J38" s="720"/>
      <c r="K38" s="720"/>
    </row>
    <row r="39" spans="2:11" s="51" customFormat="1" ht="15.75" customHeight="1" x14ac:dyDescent="0.2">
      <c r="B39" s="136" t="s">
        <v>202</v>
      </c>
      <c r="C39" s="720" t="s">
        <v>392</v>
      </c>
      <c r="D39" s="720"/>
      <c r="E39" s="720"/>
      <c r="F39" s="720"/>
      <c r="G39" s="720"/>
      <c r="H39" s="720"/>
      <c r="I39" s="720"/>
      <c r="J39" s="720"/>
      <c r="K39" s="720"/>
    </row>
    <row r="40" spans="2:11" s="51" customFormat="1" ht="27.75" customHeight="1" x14ac:dyDescent="0.2">
      <c r="B40" s="136" t="s">
        <v>202</v>
      </c>
      <c r="C40" s="720" t="s">
        <v>393</v>
      </c>
      <c r="D40" s="720"/>
      <c r="E40" s="720"/>
      <c r="F40" s="720"/>
      <c r="G40" s="720"/>
      <c r="H40" s="720"/>
      <c r="I40" s="720"/>
      <c r="J40" s="720"/>
      <c r="K40" s="720"/>
    </row>
    <row r="41" spans="2:11" s="9" customFormat="1" ht="10.5" customHeight="1" x14ac:dyDescent="0.2">
      <c r="B41" s="136"/>
      <c r="C41" s="723"/>
      <c r="D41" s="723"/>
      <c r="E41" s="723"/>
      <c r="F41" s="723"/>
      <c r="G41" s="723"/>
      <c r="H41" s="723"/>
      <c r="I41" s="723"/>
      <c r="J41" s="723"/>
      <c r="K41" s="723"/>
    </row>
    <row r="42" spans="2:11" s="55" customFormat="1" ht="15.75" customHeight="1" x14ac:dyDescent="0.2">
      <c r="B42" s="137" t="s">
        <v>77</v>
      </c>
      <c r="C42" s="137"/>
      <c r="D42" s="137"/>
      <c r="E42" s="138"/>
      <c r="F42" s="138"/>
      <c r="G42" s="139"/>
      <c r="H42" s="139"/>
      <c r="I42" s="139"/>
      <c r="J42" s="139"/>
      <c r="K42" s="139"/>
    </row>
    <row r="43" spans="2:11" s="42" customFormat="1" ht="2.25" customHeight="1" x14ac:dyDescent="0.2">
      <c r="B43" s="129"/>
      <c r="C43" s="135"/>
      <c r="D43" s="135"/>
      <c r="E43" s="135"/>
      <c r="F43" s="135"/>
      <c r="G43" s="135"/>
      <c r="H43" s="135"/>
      <c r="I43" s="135"/>
      <c r="J43" s="135"/>
      <c r="K43" s="135"/>
    </row>
    <row r="44" spans="2:11" s="42" customFormat="1" ht="13.5" customHeight="1" x14ac:dyDescent="0.2">
      <c r="B44" s="140" t="s">
        <v>376</v>
      </c>
      <c r="C44" s="141" t="s">
        <v>651</v>
      </c>
      <c r="D44" s="686"/>
      <c r="E44" s="686"/>
      <c r="F44" s="686"/>
      <c r="G44" s="686"/>
      <c r="H44" s="686"/>
      <c r="I44" s="686"/>
      <c r="J44" s="686"/>
      <c r="K44" s="686"/>
    </row>
    <row r="45" spans="2:11" s="42" customFormat="1" ht="14.25" x14ac:dyDescent="0.2">
      <c r="B45" s="140" t="s">
        <v>376</v>
      </c>
      <c r="C45" s="141" t="s">
        <v>163</v>
      </c>
      <c r="D45" s="141"/>
      <c r="E45" s="141"/>
      <c r="F45" s="141"/>
      <c r="G45" s="141"/>
      <c r="H45" s="141"/>
      <c r="I45" s="141"/>
      <c r="J45" s="141"/>
      <c r="K45" s="141"/>
    </row>
    <row r="46" spans="2:11" s="42" customFormat="1" ht="14.25" customHeight="1" x14ac:dyDescent="0.2">
      <c r="B46" s="140" t="s">
        <v>376</v>
      </c>
      <c r="C46" s="141" t="s">
        <v>164</v>
      </c>
      <c r="D46" s="135"/>
      <c r="E46" s="135"/>
      <c r="F46" s="135"/>
      <c r="G46" s="135"/>
      <c r="H46" s="135"/>
      <c r="I46" s="135"/>
      <c r="J46" s="135"/>
      <c r="K46" s="135"/>
    </row>
    <row r="47" spans="2:11" s="42" customFormat="1" ht="30" customHeight="1" x14ac:dyDescent="0.2">
      <c r="B47" s="142" t="s">
        <v>376</v>
      </c>
      <c r="C47" s="726" t="s">
        <v>652</v>
      </c>
      <c r="D47" s="726"/>
      <c r="E47" s="726"/>
      <c r="F47" s="726"/>
      <c r="G47" s="726"/>
      <c r="H47" s="726"/>
      <c r="I47" s="726"/>
      <c r="J47" s="726"/>
      <c r="K47" s="726"/>
    </row>
    <row r="48" spans="2:11" s="36" customFormat="1" ht="9.75" customHeight="1" x14ac:dyDescent="0.2">
      <c r="B48" s="143"/>
      <c r="C48" s="144"/>
      <c r="D48" s="145"/>
      <c r="E48" s="145"/>
      <c r="F48" s="145"/>
      <c r="G48" s="145"/>
      <c r="H48" s="145"/>
      <c r="I48" s="145"/>
      <c r="J48" s="145"/>
      <c r="K48" s="145"/>
    </row>
    <row r="49" spans="2:12" s="16" customFormat="1" ht="15.75" customHeight="1" x14ac:dyDescent="0.2">
      <c r="B49" s="738" t="s">
        <v>165</v>
      </c>
      <c r="C49" s="738"/>
      <c r="D49" s="738"/>
      <c r="E49" s="738"/>
      <c r="F49" s="738"/>
      <c r="G49" s="738"/>
      <c r="H49" s="738"/>
      <c r="I49" s="738"/>
      <c r="J49" s="738"/>
      <c r="K49" s="738"/>
    </row>
    <row r="50" spans="2:12" ht="7.5" customHeight="1" x14ac:dyDescent="0.2">
      <c r="B50" s="10"/>
      <c r="C50" s="10"/>
      <c r="D50" s="146"/>
      <c r="E50" s="146"/>
      <c r="F50" s="10"/>
      <c r="G50" s="146"/>
      <c r="H50" s="146"/>
      <c r="I50" s="146"/>
      <c r="J50" s="146"/>
      <c r="K50" s="147"/>
    </row>
    <row r="51" spans="2:12" ht="24" customHeight="1" x14ac:dyDescent="0.2">
      <c r="B51" s="735" t="s">
        <v>166</v>
      </c>
      <c r="C51" s="736"/>
      <c r="D51" s="736"/>
      <c r="E51" s="736"/>
      <c r="F51" s="736"/>
      <c r="G51" s="736"/>
      <c r="H51" s="736"/>
      <c r="I51" s="736"/>
      <c r="J51" s="736"/>
      <c r="K51" s="737"/>
      <c r="L51" s="21"/>
    </row>
    <row r="52" spans="2:12" ht="95.25" customHeight="1" x14ac:dyDescent="0.2">
      <c r="B52" s="732" t="s">
        <v>394</v>
      </c>
      <c r="C52" s="733"/>
      <c r="D52" s="733"/>
      <c r="E52" s="733"/>
      <c r="F52" s="733"/>
      <c r="G52" s="733"/>
      <c r="H52" s="733"/>
      <c r="I52" s="733"/>
      <c r="J52" s="733"/>
      <c r="K52" s="734"/>
    </row>
    <row r="53" spans="2:12" ht="24" customHeight="1" x14ac:dyDescent="0.2">
      <c r="B53" s="735" t="s">
        <v>78</v>
      </c>
      <c r="C53" s="736"/>
      <c r="D53" s="736"/>
      <c r="E53" s="736"/>
      <c r="F53" s="736"/>
      <c r="G53" s="736"/>
      <c r="H53" s="736"/>
      <c r="I53" s="736"/>
      <c r="J53" s="736"/>
      <c r="K53" s="737"/>
    </row>
    <row r="54" spans="2:12" ht="90" customHeight="1" x14ac:dyDescent="0.2">
      <c r="B54" s="732" t="s">
        <v>395</v>
      </c>
      <c r="C54" s="733"/>
      <c r="D54" s="733"/>
      <c r="E54" s="733"/>
      <c r="F54" s="733"/>
      <c r="G54" s="733"/>
      <c r="H54" s="733"/>
      <c r="I54" s="733"/>
      <c r="J54" s="733"/>
      <c r="K54" s="734"/>
    </row>
    <row r="55" spans="2:12" ht="24" customHeight="1" x14ac:dyDescent="0.2">
      <c r="B55" s="735" t="s">
        <v>13</v>
      </c>
      <c r="C55" s="736"/>
      <c r="D55" s="736"/>
      <c r="E55" s="736"/>
      <c r="F55" s="736"/>
      <c r="G55" s="736"/>
      <c r="H55" s="736"/>
      <c r="I55" s="736"/>
      <c r="J55" s="736"/>
      <c r="K55" s="737"/>
    </row>
    <row r="56" spans="2:12" ht="63.75" customHeight="1" x14ac:dyDescent="0.2">
      <c r="B56" s="732" t="s">
        <v>396</v>
      </c>
      <c r="C56" s="733"/>
      <c r="D56" s="733"/>
      <c r="E56" s="733"/>
      <c r="F56" s="733"/>
      <c r="G56" s="733"/>
      <c r="H56" s="733"/>
      <c r="I56" s="733"/>
      <c r="J56" s="733"/>
      <c r="K56" s="734"/>
    </row>
    <row r="57" spans="2:12" ht="24" customHeight="1" x14ac:dyDescent="0.2">
      <c r="B57" s="735" t="s">
        <v>14</v>
      </c>
      <c r="C57" s="736"/>
      <c r="D57" s="736"/>
      <c r="E57" s="736"/>
      <c r="F57" s="736"/>
      <c r="G57" s="736"/>
      <c r="H57" s="736"/>
      <c r="I57" s="736"/>
      <c r="J57" s="736"/>
      <c r="K57" s="737"/>
    </row>
    <row r="58" spans="2:12" ht="67.5" customHeight="1" x14ac:dyDescent="0.2">
      <c r="B58" s="732" t="s">
        <v>535</v>
      </c>
      <c r="C58" s="733"/>
      <c r="D58" s="733"/>
      <c r="E58" s="733"/>
      <c r="F58" s="733"/>
      <c r="G58" s="733"/>
      <c r="H58" s="733"/>
      <c r="I58" s="733"/>
      <c r="J58" s="733"/>
      <c r="K58" s="734"/>
    </row>
    <row r="59" spans="2:12" ht="24" customHeight="1" x14ac:dyDescent="0.2">
      <c r="B59" s="735" t="s">
        <v>16</v>
      </c>
      <c r="C59" s="736"/>
      <c r="D59" s="736"/>
      <c r="E59" s="736"/>
      <c r="F59" s="736"/>
      <c r="G59" s="736"/>
      <c r="H59" s="736"/>
      <c r="I59" s="736"/>
      <c r="J59" s="736"/>
      <c r="K59" s="737"/>
    </row>
    <row r="60" spans="2:12" ht="27" customHeight="1" x14ac:dyDescent="0.2">
      <c r="B60" s="732" t="s">
        <v>15</v>
      </c>
      <c r="C60" s="733"/>
      <c r="D60" s="733"/>
      <c r="E60" s="733"/>
      <c r="F60" s="733"/>
      <c r="G60" s="733"/>
      <c r="H60" s="733"/>
      <c r="I60" s="733"/>
      <c r="J60" s="733"/>
      <c r="K60" s="734"/>
    </row>
    <row r="61" spans="2:12" s="16" customFormat="1" ht="24" customHeight="1" x14ac:dyDescent="0.2">
      <c r="B61" s="735" t="s">
        <v>17</v>
      </c>
      <c r="C61" s="736"/>
      <c r="D61" s="736"/>
      <c r="E61" s="736"/>
      <c r="F61" s="736"/>
      <c r="G61" s="736"/>
      <c r="H61" s="736"/>
      <c r="I61" s="736"/>
      <c r="J61" s="736"/>
      <c r="K61" s="737"/>
    </row>
    <row r="62" spans="2:12" ht="67.5" customHeight="1" x14ac:dyDescent="0.2">
      <c r="B62" s="732" t="s">
        <v>79</v>
      </c>
      <c r="C62" s="733"/>
      <c r="D62" s="733"/>
      <c r="E62" s="733"/>
      <c r="F62" s="733"/>
      <c r="G62" s="733"/>
      <c r="H62" s="733"/>
      <c r="I62" s="733"/>
      <c r="J62" s="733"/>
      <c r="K62" s="734"/>
    </row>
    <row r="63" spans="2:12" ht="24" customHeight="1" x14ac:dyDescent="0.2">
      <c r="B63" s="135"/>
      <c r="C63" s="135"/>
      <c r="D63" s="135"/>
      <c r="E63" s="135"/>
      <c r="F63" s="135"/>
      <c r="G63" s="135"/>
      <c r="H63" s="135"/>
      <c r="I63" s="135"/>
      <c r="J63" s="135"/>
      <c r="K63" s="135"/>
    </row>
    <row r="64" spans="2:12" ht="15.75" customHeight="1" x14ac:dyDescent="0.25">
      <c r="B64" s="730" t="s">
        <v>536</v>
      </c>
      <c r="C64" s="730"/>
      <c r="D64" s="730"/>
      <c r="E64" s="730"/>
      <c r="F64" s="730"/>
      <c r="G64" s="730"/>
      <c r="H64" s="730"/>
      <c r="I64" s="730"/>
      <c r="J64" s="730"/>
      <c r="K64" s="730"/>
    </row>
    <row r="65" spans="2:11" ht="24" customHeight="1" x14ac:dyDescent="0.2">
      <c r="B65" s="9"/>
      <c r="C65" s="9"/>
      <c r="D65" s="9"/>
      <c r="E65" s="9"/>
      <c r="F65" s="9"/>
      <c r="G65" s="9"/>
      <c r="H65" s="9"/>
      <c r="I65" s="9"/>
      <c r="J65" s="9"/>
      <c r="K65" s="9"/>
    </row>
    <row r="66" spans="2:11" ht="25.35" customHeight="1" x14ac:dyDescent="0.2">
      <c r="B66" s="9"/>
      <c r="C66" s="646" t="s">
        <v>18</v>
      </c>
      <c r="D66" s="647" t="s">
        <v>19</v>
      </c>
      <c r="E66" s="647" t="s">
        <v>20</v>
      </c>
      <c r="F66" s="9"/>
      <c r="G66" s="9"/>
      <c r="H66" s="9"/>
      <c r="I66" s="9"/>
      <c r="J66" s="9"/>
      <c r="K66" s="9"/>
    </row>
    <row r="67" spans="2:11" s="9" customFormat="1" ht="26.25" customHeight="1" x14ac:dyDescent="0.2">
      <c r="C67" s="148" t="s">
        <v>21</v>
      </c>
      <c r="D67" s="149" t="s">
        <v>189</v>
      </c>
      <c r="E67" s="149">
        <v>4.5460900000000004</v>
      </c>
    </row>
    <row r="68" spans="2:11" x14ac:dyDescent="0.2">
      <c r="B68" s="9"/>
      <c r="C68" s="148" t="s">
        <v>22</v>
      </c>
      <c r="D68" s="149" t="s">
        <v>189</v>
      </c>
      <c r="E68" s="149">
        <v>3.7854117839999999</v>
      </c>
      <c r="F68" s="9"/>
      <c r="G68" s="9"/>
      <c r="H68" s="9"/>
      <c r="I68" s="9"/>
      <c r="J68" s="9"/>
      <c r="K68" s="9"/>
    </row>
    <row r="69" spans="2:11" ht="14.25" x14ac:dyDescent="0.2">
      <c r="B69" s="9"/>
      <c r="C69" s="148" t="s">
        <v>191</v>
      </c>
      <c r="D69" s="149" t="s">
        <v>189</v>
      </c>
      <c r="E69" s="149">
        <v>1000</v>
      </c>
      <c r="F69" s="9"/>
      <c r="G69" s="9"/>
      <c r="H69" s="9"/>
      <c r="I69" s="9"/>
      <c r="J69" s="9"/>
      <c r="K69" s="9"/>
    </row>
    <row r="70" spans="2:11" ht="14.25" x14ac:dyDescent="0.2">
      <c r="B70" s="9"/>
      <c r="C70" s="148" t="s">
        <v>23</v>
      </c>
      <c r="D70" s="150" t="s">
        <v>191</v>
      </c>
      <c r="E70" s="149">
        <v>1E-3</v>
      </c>
      <c r="F70" s="9"/>
      <c r="G70" s="9"/>
      <c r="H70" s="9"/>
      <c r="I70" s="9"/>
      <c r="J70" s="9"/>
      <c r="K70" s="9"/>
    </row>
    <row r="71" spans="2:11" x14ac:dyDescent="0.2">
      <c r="B71" s="9"/>
      <c r="C71" s="148" t="s">
        <v>190</v>
      </c>
      <c r="D71" s="149" t="s">
        <v>189</v>
      </c>
      <c r="E71" s="149">
        <v>1E-3</v>
      </c>
      <c r="F71" s="9"/>
      <c r="G71" s="9"/>
      <c r="H71" s="9"/>
      <c r="I71" s="9"/>
      <c r="J71" s="9"/>
      <c r="K71" s="9"/>
    </row>
  </sheetData>
  <mergeCells count="41">
    <mergeCell ref="B52:K52"/>
    <mergeCell ref="B56:K56"/>
    <mergeCell ref="C41:K41"/>
    <mergeCell ref="B64:K64"/>
    <mergeCell ref="C37:K37"/>
    <mergeCell ref="B62:K62"/>
    <mergeCell ref="B58:K58"/>
    <mergeCell ref="B61:K61"/>
    <mergeCell ref="B55:K55"/>
    <mergeCell ref="C38:K38"/>
    <mergeCell ref="B51:K51"/>
    <mergeCell ref="B60:K60"/>
    <mergeCell ref="C40:K40"/>
    <mergeCell ref="B49:K49"/>
    <mergeCell ref="B53:K53"/>
    <mergeCell ref="B54:K54"/>
    <mergeCell ref="B59:K59"/>
    <mergeCell ref="B57:K57"/>
    <mergeCell ref="C39:K39"/>
    <mergeCell ref="C47:K47"/>
    <mergeCell ref="B9:K9"/>
    <mergeCell ref="B11:K11"/>
    <mergeCell ref="B13:K13"/>
    <mergeCell ref="B24:K24"/>
    <mergeCell ref="B30:K30"/>
    <mergeCell ref="C34:K34"/>
    <mergeCell ref="B25:K25"/>
    <mergeCell ref="C36:K36"/>
    <mergeCell ref="B32:K32"/>
    <mergeCell ref="B26:K26"/>
    <mergeCell ref="C33:K33"/>
    <mergeCell ref="C35:K35"/>
    <mergeCell ref="B3:K3"/>
    <mergeCell ref="B28:K28"/>
    <mergeCell ref="B17:K17"/>
    <mergeCell ref="B21:K21"/>
    <mergeCell ref="B5:K5"/>
    <mergeCell ref="B7:K7"/>
    <mergeCell ref="B22:K22"/>
    <mergeCell ref="B15:K15"/>
    <mergeCell ref="B19:K19"/>
  </mergeCells>
  <phoneticPr fontId="10" type="noConversion"/>
  <printOptions horizontalCentered="1"/>
  <pageMargins left="0.5" right="0.5" top="0.75" bottom="0.75" header="0.5" footer="0.5"/>
  <pageSetup paperSize="9" scale="96" firstPageNumber="2" fitToHeight="0" orientation="landscape" useFirstPageNumber="1"/>
  <headerFooter alignWithMargins="0">
    <oddFooter>&amp;C&amp;"Arial,Regular"UNSD/Programa de las Naciones Unidas para el Medio Ambiente Cuestionario 2018 Estadisticas Ambientales -  Sección del Agua -  &amp;P</oddFooter>
  </headerFooter>
  <rowBreaks count="3" manualBreakCount="3">
    <brk id="29" max="16383" man="1"/>
    <brk id="48" max="16383" man="1"/>
    <brk id="5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P106"/>
  <sheetViews>
    <sheetView showGridLines="0" topLeftCell="B1" zoomScaleNormal="100" zoomScaleSheetLayoutView="70" zoomScalePageLayoutView="70" workbookViewId="0">
      <selection activeCell="B1" sqref="B1"/>
    </sheetView>
  </sheetViews>
  <sheetFormatPr defaultColWidth="9.33203125" defaultRowHeight="12.75" x14ac:dyDescent="0.2"/>
  <cols>
    <col min="1" max="1" width="3.33203125" style="2" hidden="1" customWidth="1"/>
    <col min="2" max="2" width="11.83203125" style="20" customWidth="1"/>
    <col min="3" max="3" width="33.83203125" style="15" customWidth="1"/>
    <col min="4" max="4" width="121" style="15" customWidth="1"/>
    <col min="5" max="5" width="5.33203125" style="100" customWidth="1"/>
    <col min="6" max="6" width="5.33203125" style="101" customWidth="1"/>
    <col min="7" max="7" width="9.33203125" style="101" customWidth="1"/>
    <col min="8" max="10" width="9.33203125" style="2" customWidth="1"/>
    <col min="11" max="11" width="20.33203125" style="2" customWidth="1"/>
    <col min="12" max="16384" width="9.33203125" style="2"/>
  </cols>
  <sheetData>
    <row r="1" spans="2:7" ht="15.75" x14ac:dyDescent="0.25">
      <c r="B1" s="133" t="s">
        <v>388</v>
      </c>
    </row>
    <row r="2" spans="2:7" ht="7.5" customHeight="1" x14ac:dyDescent="0.2"/>
    <row r="3" spans="2:7" ht="18" x14ac:dyDescent="0.25">
      <c r="B3" s="740" t="s">
        <v>153</v>
      </c>
      <c r="C3" s="740"/>
      <c r="D3" s="740"/>
    </row>
    <row r="4" spans="2:7" ht="12.75" customHeight="1" x14ac:dyDescent="0.2">
      <c r="B4" s="99"/>
      <c r="C4" s="151"/>
      <c r="D4" s="152"/>
    </row>
    <row r="5" spans="2:7" ht="15.75" x14ac:dyDescent="0.2">
      <c r="B5" s="741" t="s">
        <v>24</v>
      </c>
      <c r="C5" s="741"/>
      <c r="D5" s="741"/>
    </row>
    <row r="6" spans="2:7" s="10" customFormat="1" ht="40.5" customHeight="1" thickBot="1" x14ac:dyDescent="0.25">
      <c r="B6" s="720" t="s">
        <v>598</v>
      </c>
      <c r="C6" s="720"/>
      <c r="D6" s="720"/>
      <c r="E6" s="100"/>
      <c r="F6" s="101"/>
      <c r="G6" s="101"/>
    </row>
    <row r="7" spans="2:7" ht="40.5" customHeight="1" x14ac:dyDescent="0.2">
      <c r="B7" s="184" t="s">
        <v>80</v>
      </c>
      <c r="C7" s="185" t="s">
        <v>34</v>
      </c>
      <c r="D7" s="186" t="s">
        <v>25</v>
      </c>
    </row>
    <row r="8" spans="2:7" s="10" customFormat="1" ht="27.75" customHeight="1" x14ac:dyDescent="0.2">
      <c r="B8" s="154" t="s">
        <v>374</v>
      </c>
      <c r="C8" s="155" t="s">
        <v>26</v>
      </c>
      <c r="D8" s="156" t="s">
        <v>35</v>
      </c>
      <c r="E8" s="102"/>
      <c r="F8" s="101"/>
      <c r="G8" s="101"/>
    </row>
    <row r="9" spans="2:7" s="10" customFormat="1" ht="117" customHeight="1" x14ac:dyDescent="0.2">
      <c r="B9" s="154" t="s">
        <v>472</v>
      </c>
      <c r="C9" s="155" t="s">
        <v>36</v>
      </c>
      <c r="D9" s="156" t="s">
        <v>37</v>
      </c>
      <c r="E9" s="102"/>
      <c r="F9" s="101"/>
      <c r="G9" s="101"/>
    </row>
    <row r="10" spans="2:7" s="10" customFormat="1" ht="54" customHeight="1" x14ac:dyDescent="0.2">
      <c r="B10" s="187" t="s">
        <v>450</v>
      </c>
      <c r="C10" s="157" t="s">
        <v>27</v>
      </c>
      <c r="D10" s="156" t="s">
        <v>81</v>
      </c>
      <c r="E10" s="102"/>
      <c r="F10" s="101"/>
      <c r="G10" s="101"/>
    </row>
    <row r="11" spans="2:7" s="10" customFormat="1" ht="44.1" customHeight="1" x14ac:dyDescent="0.2">
      <c r="B11" s="635" t="s">
        <v>599</v>
      </c>
      <c r="C11" s="155" t="s">
        <v>602</v>
      </c>
      <c r="D11" s="156" t="s">
        <v>603</v>
      </c>
      <c r="E11" s="102"/>
      <c r="F11" s="101"/>
      <c r="G11" s="101"/>
    </row>
    <row r="12" spans="2:7" s="10" customFormat="1" ht="57" customHeight="1" x14ac:dyDescent="0.2">
      <c r="B12" s="158" t="s">
        <v>373</v>
      </c>
      <c r="C12" s="157" t="s">
        <v>28</v>
      </c>
      <c r="D12" s="188" t="s">
        <v>82</v>
      </c>
      <c r="E12" s="102"/>
      <c r="F12" s="101"/>
      <c r="G12" s="101"/>
    </row>
    <row r="13" spans="2:7" s="10" customFormat="1" ht="48.6" customHeight="1" x14ac:dyDescent="0.2">
      <c r="B13" s="158" t="s">
        <v>600</v>
      </c>
      <c r="C13" s="157" t="s">
        <v>604</v>
      </c>
      <c r="D13" s="645" t="s">
        <v>605</v>
      </c>
      <c r="E13" s="102"/>
      <c r="F13" s="101"/>
      <c r="G13" s="101"/>
    </row>
    <row r="14" spans="2:7" s="10" customFormat="1" ht="29.25" customHeight="1" thickBot="1" x14ac:dyDescent="0.25">
      <c r="B14" s="634" t="s">
        <v>606</v>
      </c>
      <c r="C14" s="189" t="s">
        <v>29</v>
      </c>
      <c r="D14" s="190" t="s">
        <v>30</v>
      </c>
      <c r="E14" s="102"/>
      <c r="F14" s="101"/>
      <c r="G14" s="101"/>
    </row>
    <row r="15" spans="2:7" s="10" customFormat="1" ht="45" customHeight="1" thickBot="1" x14ac:dyDescent="0.25">
      <c r="B15" s="634" t="s">
        <v>601</v>
      </c>
      <c r="C15" s="189" t="s">
        <v>561</v>
      </c>
      <c r="D15" s="636" t="s">
        <v>607</v>
      </c>
      <c r="E15" s="102"/>
      <c r="F15" s="101"/>
      <c r="G15" s="101"/>
    </row>
    <row r="16" spans="2:7" ht="21.75" customHeight="1" x14ac:dyDescent="0.2">
      <c r="B16" s="160"/>
      <c r="C16" s="151"/>
      <c r="D16" s="152"/>
    </row>
    <row r="17" spans="1:7" ht="18" customHeight="1" thickBot="1" x14ac:dyDescent="0.25">
      <c r="B17" s="742" t="s">
        <v>146</v>
      </c>
      <c r="C17" s="742"/>
      <c r="D17" s="742"/>
    </row>
    <row r="18" spans="1:7" ht="32.25" customHeight="1" x14ac:dyDescent="0.2">
      <c r="B18" s="161" t="s">
        <v>31</v>
      </c>
      <c r="C18" s="162" t="s">
        <v>32</v>
      </c>
      <c r="D18" s="153" t="s">
        <v>146</v>
      </c>
      <c r="E18" s="100" t="s">
        <v>473</v>
      </c>
      <c r="G18" s="101" t="s">
        <v>475</v>
      </c>
    </row>
    <row r="19" spans="1:7" ht="30.75" customHeight="1" x14ac:dyDescent="0.2">
      <c r="B19" s="163" t="s">
        <v>414</v>
      </c>
      <c r="C19" s="155" t="s">
        <v>33</v>
      </c>
      <c r="D19" s="164" t="s">
        <v>69</v>
      </c>
      <c r="E19" s="100">
        <v>1</v>
      </c>
      <c r="G19" s="101">
        <v>7</v>
      </c>
    </row>
    <row r="20" spans="1:7" ht="66.75" customHeight="1" x14ac:dyDescent="0.2">
      <c r="B20" s="163" t="s">
        <v>415</v>
      </c>
      <c r="C20" s="155" t="s">
        <v>70</v>
      </c>
      <c r="D20" s="165" t="s">
        <v>83</v>
      </c>
      <c r="E20" s="100">
        <v>2</v>
      </c>
      <c r="G20" s="101">
        <v>28</v>
      </c>
    </row>
    <row r="21" spans="1:7" ht="56.45" customHeight="1" x14ac:dyDescent="0.2">
      <c r="B21" s="163" t="s">
        <v>416</v>
      </c>
      <c r="C21" s="155" t="s">
        <v>398</v>
      </c>
      <c r="D21" s="164" t="s">
        <v>38</v>
      </c>
      <c r="E21" s="100">
        <v>3</v>
      </c>
      <c r="G21" s="101">
        <v>26</v>
      </c>
    </row>
    <row r="22" spans="1:7" ht="39" customHeight="1" x14ac:dyDescent="0.2">
      <c r="B22" s="163" t="s">
        <v>417</v>
      </c>
      <c r="C22" s="166" t="s">
        <v>127</v>
      </c>
      <c r="D22" s="164" t="s">
        <v>84</v>
      </c>
      <c r="E22" s="100">
        <v>4</v>
      </c>
      <c r="G22" s="101">
        <v>19</v>
      </c>
    </row>
    <row r="23" spans="1:7" ht="27" customHeight="1" x14ac:dyDescent="0.2">
      <c r="B23" s="163" t="s">
        <v>418</v>
      </c>
      <c r="C23" s="166" t="s">
        <v>154</v>
      </c>
      <c r="D23" s="165" t="s">
        <v>39</v>
      </c>
      <c r="E23" s="100">
        <v>5</v>
      </c>
      <c r="G23" s="101">
        <v>20</v>
      </c>
    </row>
    <row r="24" spans="1:7" ht="40.5" customHeight="1" x14ac:dyDescent="0.2">
      <c r="B24" s="163" t="s">
        <v>419</v>
      </c>
      <c r="C24" s="166" t="s">
        <v>128</v>
      </c>
      <c r="D24" s="164" t="s">
        <v>133</v>
      </c>
      <c r="E24" s="100">
        <v>6</v>
      </c>
      <c r="G24" s="101">
        <v>21</v>
      </c>
    </row>
    <row r="25" spans="1:7" ht="28.5" customHeight="1" x14ac:dyDescent="0.2">
      <c r="B25" s="167" t="s">
        <v>426</v>
      </c>
      <c r="C25" s="155" t="s">
        <v>129</v>
      </c>
      <c r="D25" s="168" t="s">
        <v>477</v>
      </c>
    </row>
    <row r="26" spans="1:7" ht="26.25" customHeight="1" x14ac:dyDescent="0.2">
      <c r="B26" s="167" t="s">
        <v>427</v>
      </c>
      <c r="C26" s="155" t="s">
        <v>130</v>
      </c>
      <c r="D26" s="168" t="s">
        <v>478</v>
      </c>
    </row>
    <row r="27" spans="1:7" ht="44.1" customHeight="1" x14ac:dyDescent="0.2">
      <c r="B27" s="167" t="s">
        <v>140</v>
      </c>
      <c r="C27" s="155" t="s">
        <v>131</v>
      </c>
      <c r="D27" s="164" t="s">
        <v>132</v>
      </c>
      <c r="E27" s="100">
        <v>6</v>
      </c>
      <c r="G27" s="101">
        <v>21</v>
      </c>
    </row>
    <row r="28" spans="1:7" ht="27.75" customHeight="1" x14ac:dyDescent="0.2">
      <c r="B28" s="163" t="s">
        <v>451</v>
      </c>
      <c r="C28" s="155" t="s">
        <v>134</v>
      </c>
      <c r="D28" s="165" t="s">
        <v>85</v>
      </c>
      <c r="E28" s="100">
        <v>8</v>
      </c>
      <c r="G28" s="101">
        <v>47</v>
      </c>
    </row>
    <row r="29" spans="1:7" ht="96" customHeight="1" x14ac:dyDescent="0.2">
      <c r="A29" s="10"/>
      <c r="B29" s="163" t="s">
        <v>454</v>
      </c>
      <c r="C29" s="166" t="s">
        <v>135</v>
      </c>
      <c r="D29" s="169" t="s">
        <v>86</v>
      </c>
      <c r="E29" s="100">
        <v>22</v>
      </c>
      <c r="G29" s="101" t="s">
        <v>476</v>
      </c>
    </row>
    <row r="30" spans="1:7" s="10" customFormat="1" ht="71.099999999999994" customHeight="1" x14ac:dyDescent="0.2">
      <c r="B30" s="163" t="s">
        <v>454</v>
      </c>
      <c r="C30" s="166" t="s">
        <v>528</v>
      </c>
      <c r="D30" s="169" t="s">
        <v>87</v>
      </c>
      <c r="E30" s="100"/>
      <c r="F30" s="101"/>
      <c r="G30" s="101"/>
    </row>
    <row r="31" spans="1:7" ht="28.7" customHeight="1" x14ac:dyDescent="0.2">
      <c r="B31" s="170" t="s">
        <v>141</v>
      </c>
      <c r="C31" s="155" t="s">
        <v>529</v>
      </c>
      <c r="D31" s="159" t="s">
        <v>530</v>
      </c>
      <c r="E31" s="100">
        <v>9</v>
      </c>
    </row>
    <row r="32" spans="1:7" s="10" customFormat="1" ht="35.25" customHeight="1" x14ac:dyDescent="0.2">
      <c r="B32" s="167" t="s">
        <v>420</v>
      </c>
      <c r="C32" s="155" t="s">
        <v>531</v>
      </c>
      <c r="D32" s="159" t="s">
        <v>532</v>
      </c>
      <c r="E32" s="100"/>
      <c r="F32" s="101"/>
      <c r="G32" s="101"/>
    </row>
    <row r="33" spans="1:7" s="10" customFormat="1" ht="63.75" x14ac:dyDescent="0.2">
      <c r="B33" s="167" t="s">
        <v>142</v>
      </c>
      <c r="C33" s="155" t="s">
        <v>653</v>
      </c>
      <c r="D33" s="159" t="s">
        <v>687</v>
      </c>
      <c r="E33" s="100"/>
      <c r="F33" s="101"/>
      <c r="G33" s="101"/>
    </row>
    <row r="34" spans="1:7" s="10" customFormat="1" ht="25.5" x14ac:dyDescent="0.2">
      <c r="B34" s="167" t="s">
        <v>167</v>
      </c>
      <c r="C34" s="155" t="s">
        <v>661</v>
      </c>
      <c r="D34" s="159" t="s">
        <v>663</v>
      </c>
      <c r="E34" s="100"/>
      <c r="F34" s="101"/>
      <c r="G34" s="101"/>
    </row>
    <row r="35" spans="1:7" s="10" customFormat="1" ht="25.5" x14ac:dyDescent="0.2">
      <c r="B35" s="167" t="s">
        <v>192</v>
      </c>
      <c r="C35" s="155" t="s">
        <v>662</v>
      </c>
      <c r="D35" s="159" t="s">
        <v>664</v>
      </c>
      <c r="E35" s="100"/>
      <c r="F35" s="101"/>
      <c r="G35" s="101"/>
    </row>
    <row r="36" spans="1:7" s="10" customFormat="1" ht="78.75" customHeight="1" x14ac:dyDescent="0.2">
      <c r="B36" s="170" t="s">
        <v>193</v>
      </c>
      <c r="C36" s="171" t="s">
        <v>533</v>
      </c>
      <c r="D36" s="156" t="s">
        <v>40</v>
      </c>
      <c r="E36" s="100">
        <v>25</v>
      </c>
      <c r="F36" s="101"/>
      <c r="G36" s="101"/>
    </row>
    <row r="37" spans="1:7" s="10" customFormat="1" ht="30" customHeight="1" x14ac:dyDescent="0.2">
      <c r="B37" s="170" t="s">
        <v>654</v>
      </c>
      <c r="C37" s="171" t="s">
        <v>534</v>
      </c>
      <c r="D37" s="156" t="s">
        <v>541</v>
      </c>
      <c r="E37" s="100"/>
      <c r="F37" s="101"/>
      <c r="G37" s="101"/>
    </row>
    <row r="38" spans="1:7" s="10" customFormat="1" ht="49.35" customHeight="1" x14ac:dyDescent="0.2">
      <c r="B38" s="170" t="s">
        <v>655</v>
      </c>
      <c r="C38" s="171" t="s">
        <v>88</v>
      </c>
      <c r="D38" s="156" t="s">
        <v>41</v>
      </c>
      <c r="E38" s="100"/>
      <c r="F38" s="101"/>
      <c r="G38" s="101"/>
    </row>
    <row r="39" spans="1:7" s="10" customFormat="1" ht="31.35" customHeight="1" x14ac:dyDescent="0.2">
      <c r="B39" s="170" t="s">
        <v>656</v>
      </c>
      <c r="C39" s="174" t="s">
        <v>537</v>
      </c>
      <c r="D39" s="173" t="s">
        <v>9</v>
      </c>
      <c r="E39" s="100"/>
      <c r="F39" s="101"/>
      <c r="G39" s="101"/>
    </row>
    <row r="40" spans="1:7" s="10" customFormat="1" ht="44.1" customHeight="1" x14ac:dyDescent="0.2">
      <c r="B40" s="170" t="s">
        <v>657</v>
      </c>
      <c r="C40" s="175" t="s">
        <v>615</v>
      </c>
      <c r="D40" s="173" t="s">
        <v>608</v>
      </c>
      <c r="E40" s="100"/>
      <c r="F40" s="101"/>
      <c r="G40" s="101"/>
    </row>
    <row r="41" spans="1:7" s="10" customFormat="1" ht="42" customHeight="1" x14ac:dyDescent="0.2">
      <c r="B41" s="170" t="s">
        <v>176</v>
      </c>
      <c r="C41" s="171" t="s">
        <v>542</v>
      </c>
      <c r="D41" s="156" t="s">
        <v>42</v>
      </c>
      <c r="E41" s="100"/>
      <c r="F41" s="101"/>
      <c r="G41" s="101"/>
    </row>
    <row r="42" spans="1:7" s="10" customFormat="1" ht="42" customHeight="1" x14ac:dyDescent="0.2">
      <c r="B42" s="170" t="s">
        <v>658</v>
      </c>
      <c r="C42" s="171" t="s">
        <v>609</v>
      </c>
      <c r="D42" s="156" t="s">
        <v>610</v>
      </c>
      <c r="E42" s="100"/>
      <c r="F42" s="101"/>
      <c r="G42" s="101"/>
    </row>
    <row r="43" spans="1:7" s="10" customFormat="1" ht="39" customHeight="1" x14ac:dyDescent="0.2">
      <c r="B43" s="170" t="s">
        <v>177</v>
      </c>
      <c r="C43" s="171" t="s">
        <v>543</v>
      </c>
      <c r="D43" s="156" t="s">
        <v>43</v>
      </c>
      <c r="E43" s="100">
        <v>51</v>
      </c>
      <c r="F43" s="101"/>
      <c r="G43" s="101"/>
    </row>
    <row r="44" spans="1:7" s="10" customFormat="1" ht="39" customHeight="1" x14ac:dyDescent="0.2">
      <c r="B44" s="170" t="s">
        <v>178</v>
      </c>
      <c r="C44" s="171" t="s">
        <v>611</v>
      </c>
      <c r="D44" s="156" t="s">
        <v>612</v>
      </c>
      <c r="E44" s="100"/>
      <c r="F44" s="101"/>
      <c r="G44" s="101"/>
    </row>
    <row r="45" spans="1:7" s="10" customFormat="1" ht="39.75" customHeight="1" x14ac:dyDescent="0.2">
      <c r="B45" s="170" t="s">
        <v>659</v>
      </c>
      <c r="C45" s="171" t="s">
        <v>544</v>
      </c>
      <c r="D45" s="156" t="s">
        <v>44</v>
      </c>
      <c r="E45" s="100"/>
      <c r="F45" s="101"/>
      <c r="G45" s="101"/>
    </row>
    <row r="46" spans="1:7" ht="15.75" customHeight="1" x14ac:dyDescent="0.2">
      <c r="A46" s="10"/>
      <c r="B46" s="170" t="s">
        <v>179</v>
      </c>
      <c r="C46" s="166" t="s">
        <v>545</v>
      </c>
      <c r="D46" s="165" t="s">
        <v>546</v>
      </c>
      <c r="E46" s="100">
        <v>12</v>
      </c>
    </row>
    <row r="47" spans="1:7" ht="39" customHeight="1" x14ac:dyDescent="0.2">
      <c r="A47" s="10"/>
      <c r="B47" s="170" t="s">
        <v>180</v>
      </c>
      <c r="C47" s="155" t="s">
        <v>547</v>
      </c>
      <c r="D47" s="165" t="s">
        <v>0</v>
      </c>
      <c r="E47" s="100">
        <v>13</v>
      </c>
    </row>
    <row r="48" spans="1:7" ht="31.5" customHeight="1" x14ac:dyDescent="0.2">
      <c r="A48" s="10"/>
      <c r="B48" s="170" t="s">
        <v>137</v>
      </c>
      <c r="C48" s="166" t="s">
        <v>1</v>
      </c>
      <c r="D48" s="165" t="s">
        <v>2</v>
      </c>
      <c r="E48" s="100">
        <v>14</v>
      </c>
    </row>
    <row r="49" spans="1:7" ht="30.75" customHeight="1" x14ac:dyDescent="0.2">
      <c r="A49" s="10"/>
      <c r="B49" s="170" t="s">
        <v>660</v>
      </c>
      <c r="C49" s="166" t="s">
        <v>3</v>
      </c>
      <c r="D49" s="165" t="s">
        <v>4</v>
      </c>
      <c r="E49" s="100">
        <v>15</v>
      </c>
    </row>
    <row r="50" spans="1:7" ht="27" customHeight="1" x14ac:dyDescent="0.2">
      <c r="A50" s="10"/>
      <c r="B50" s="170" t="s">
        <v>138</v>
      </c>
      <c r="C50" s="155" t="s">
        <v>45</v>
      </c>
      <c r="D50" s="689" t="s">
        <v>688</v>
      </c>
      <c r="E50" s="100">
        <v>16</v>
      </c>
    </row>
    <row r="51" spans="1:7" ht="44.25" customHeight="1" x14ac:dyDescent="0.2">
      <c r="A51" s="10"/>
      <c r="B51" s="155" t="s">
        <v>665</v>
      </c>
      <c r="C51" s="166" t="s">
        <v>5</v>
      </c>
      <c r="D51" s="156" t="s">
        <v>689</v>
      </c>
      <c r="E51" s="100">
        <v>17</v>
      </c>
    </row>
    <row r="52" spans="1:7" ht="54" customHeight="1" x14ac:dyDescent="0.2">
      <c r="A52" s="10"/>
      <c r="B52" s="170" t="s">
        <v>423</v>
      </c>
      <c r="C52" s="155" t="s">
        <v>6</v>
      </c>
      <c r="D52" s="156" t="s">
        <v>7</v>
      </c>
      <c r="E52" s="100">
        <v>31</v>
      </c>
    </row>
    <row r="53" spans="1:7" ht="46.35" customHeight="1" x14ac:dyDescent="0.2">
      <c r="A53" s="10"/>
      <c r="B53" s="170" t="s">
        <v>666</v>
      </c>
      <c r="C53" s="171" t="s">
        <v>8</v>
      </c>
      <c r="D53" s="156" t="s">
        <v>46</v>
      </c>
      <c r="E53" s="100">
        <v>52</v>
      </c>
    </row>
    <row r="54" spans="1:7" ht="39.75" customHeight="1" x14ac:dyDescent="0.2">
      <c r="A54" s="10"/>
      <c r="B54" s="687" t="s">
        <v>613</v>
      </c>
      <c r="C54" s="172" t="s">
        <v>89</v>
      </c>
      <c r="D54" s="173" t="s">
        <v>90</v>
      </c>
    </row>
    <row r="55" spans="1:7" s="10" customFormat="1" ht="36.6" customHeight="1" x14ac:dyDescent="0.2">
      <c r="B55" s="688" t="s">
        <v>617</v>
      </c>
      <c r="C55" s="175" t="s">
        <v>614</v>
      </c>
      <c r="D55" s="156" t="s">
        <v>616</v>
      </c>
      <c r="E55" s="100"/>
      <c r="F55" s="101"/>
      <c r="G55" s="101"/>
    </row>
    <row r="56" spans="1:7" s="10" customFormat="1" ht="34.35" customHeight="1" x14ac:dyDescent="0.2">
      <c r="B56" s="688" t="s">
        <v>618</v>
      </c>
      <c r="C56" s="175" t="s">
        <v>10</v>
      </c>
      <c r="D56" s="173" t="s">
        <v>481</v>
      </c>
      <c r="E56" s="100"/>
      <c r="F56" s="101"/>
      <c r="G56" s="101"/>
    </row>
    <row r="57" spans="1:7" s="10" customFormat="1" ht="45" customHeight="1" x14ac:dyDescent="0.2">
      <c r="B57" s="688" t="s">
        <v>667</v>
      </c>
      <c r="C57" s="175" t="s">
        <v>619</v>
      </c>
      <c r="D57" s="156" t="s">
        <v>620</v>
      </c>
      <c r="E57" s="100"/>
      <c r="F57" s="101"/>
      <c r="G57" s="101"/>
    </row>
    <row r="58" spans="1:7" s="10" customFormat="1" ht="49.35" customHeight="1" x14ac:dyDescent="0.2">
      <c r="B58" s="170" t="s">
        <v>623</v>
      </c>
      <c r="C58" s="175" t="s">
        <v>11</v>
      </c>
      <c r="D58" s="156" t="s">
        <v>482</v>
      </c>
      <c r="E58" s="100"/>
      <c r="F58" s="101"/>
      <c r="G58" s="101"/>
    </row>
    <row r="59" spans="1:7" s="10" customFormat="1" ht="45" customHeight="1" x14ac:dyDescent="0.2">
      <c r="B59" s="688" t="s">
        <v>668</v>
      </c>
      <c r="C59" s="175" t="s">
        <v>621</v>
      </c>
      <c r="D59" s="156" t="s">
        <v>622</v>
      </c>
      <c r="E59" s="100"/>
      <c r="F59" s="101"/>
      <c r="G59" s="101"/>
    </row>
    <row r="60" spans="1:7" s="10" customFormat="1" ht="34.5" customHeight="1" x14ac:dyDescent="0.2">
      <c r="B60" s="167" t="s">
        <v>669</v>
      </c>
      <c r="C60" s="171" t="s">
        <v>12</v>
      </c>
      <c r="D60" s="156" t="s">
        <v>483</v>
      </c>
      <c r="E60" s="100"/>
      <c r="F60" s="101"/>
      <c r="G60" s="101"/>
    </row>
    <row r="61" spans="1:7" ht="42.75" customHeight="1" x14ac:dyDescent="0.2">
      <c r="A61" s="10"/>
      <c r="B61" s="170" t="s">
        <v>181</v>
      </c>
      <c r="C61" s="166" t="s">
        <v>47</v>
      </c>
      <c r="D61" s="156" t="s">
        <v>484</v>
      </c>
      <c r="E61" s="100">
        <v>27</v>
      </c>
    </row>
    <row r="62" spans="1:7" ht="42.75" customHeight="1" x14ac:dyDescent="0.2">
      <c r="A62" s="10"/>
      <c r="B62" s="170" t="s">
        <v>670</v>
      </c>
      <c r="C62" s="155" t="s">
        <v>60</v>
      </c>
      <c r="D62" s="156" t="s">
        <v>690</v>
      </c>
    </row>
    <row r="63" spans="1:7" s="10" customFormat="1" ht="42" customHeight="1" x14ac:dyDescent="0.2">
      <c r="B63" s="170" t="s">
        <v>182</v>
      </c>
      <c r="C63" s="166" t="s">
        <v>48</v>
      </c>
      <c r="D63" s="156" t="s">
        <v>49</v>
      </c>
      <c r="E63" s="100">
        <v>30</v>
      </c>
      <c r="F63" s="101"/>
      <c r="G63" s="101"/>
    </row>
    <row r="64" spans="1:7" s="10" customFormat="1" ht="41.25" customHeight="1" x14ac:dyDescent="0.2">
      <c r="B64" s="170" t="s">
        <v>624</v>
      </c>
      <c r="C64" s="166" t="s">
        <v>539</v>
      </c>
      <c r="D64" s="165" t="s">
        <v>538</v>
      </c>
      <c r="E64" s="100">
        <v>29</v>
      </c>
      <c r="F64" s="101"/>
      <c r="G64" s="101"/>
    </row>
    <row r="65" spans="1:7" s="10" customFormat="1" ht="41.25" customHeight="1" x14ac:dyDescent="0.2">
      <c r="B65" s="170" t="s">
        <v>625</v>
      </c>
      <c r="C65" s="155" t="s">
        <v>485</v>
      </c>
      <c r="D65" s="165" t="s">
        <v>486</v>
      </c>
      <c r="E65" s="100"/>
      <c r="F65" s="101"/>
      <c r="G65" s="101"/>
    </row>
    <row r="66" spans="1:7" s="10" customFormat="1" ht="41.25" customHeight="1" x14ac:dyDescent="0.2">
      <c r="B66" s="170" t="s">
        <v>626</v>
      </c>
      <c r="C66" s="155" t="s">
        <v>487</v>
      </c>
      <c r="D66" s="165" t="s">
        <v>488</v>
      </c>
      <c r="E66" s="100"/>
      <c r="F66" s="101"/>
      <c r="G66" s="101"/>
    </row>
    <row r="67" spans="1:7" s="10" customFormat="1" ht="56.45" customHeight="1" x14ac:dyDescent="0.2">
      <c r="B67" s="170" t="s">
        <v>187</v>
      </c>
      <c r="C67" s="155" t="s">
        <v>489</v>
      </c>
      <c r="D67" s="165" t="s">
        <v>627</v>
      </c>
      <c r="E67" s="100">
        <v>18</v>
      </c>
      <c r="F67" s="101"/>
      <c r="G67" s="101"/>
    </row>
    <row r="68" spans="1:7" s="10" customFormat="1" ht="36" customHeight="1" x14ac:dyDescent="0.2">
      <c r="B68" s="170" t="s">
        <v>628</v>
      </c>
      <c r="C68" s="171" t="s">
        <v>490</v>
      </c>
      <c r="D68" s="159" t="s">
        <v>479</v>
      </c>
      <c r="E68" s="100"/>
      <c r="F68" s="101"/>
      <c r="G68" s="101"/>
    </row>
    <row r="69" spans="1:7" s="10" customFormat="1" ht="56.45" customHeight="1" x14ac:dyDescent="0.2">
      <c r="A69" s="2"/>
      <c r="B69" s="170" t="s">
        <v>629</v>
      </c>
      <c r="C69" s="166" t="s">
        <v>491</v>
      </c>
      <c r="D69" s="165" t="s">
        <v>91</v>
      </c>
      <c r="E69" s="100"/>
      <c r="F69" s="101"/>
      <c r="G69" s="101"/>
    </row>
    <row r="70" spans="1:7" s="10" customFormat="1" ht="57" customHeight="1" x14ac:dyDescent="0.2">
      <c r="A70" s="2"/>
      <c r="B70" s="170" t="s">
        <v>630</v>
      </c>
      <c r="C70" s="166" t="s">
        <v>492</v>
      </c>
      <c r="D70" s="165" t="s">
        <v>406</v>
      </c>
      <c r="E70" s="100"/>
      <c r="F70" s="101"/>
      <c r="G70" s="101"/>
    </row>
    <row r="71" spans="1:7" s="10" customFormat="1" ht="65.099999999999994" customHeight="1" x14ac:dyDescent="0.2">
      <c r="A71" s="2"/>
      <c r="B71" s="170" t="s">
        <v>631</v>
      </c>
      <c r="C71" s="166" t="s">
        <v>493</v>
      </c>
      <c r="D71" s="165" t="s">
        <v>50</v>
      </c>
      <c r="E71" s="100">
        <v>34</v>
      </c>
      <c r="F71" s="101"/>
      <c r="G71" s="101"/>
    </row>
    <row r="72" spans="1:7" ht="60" customHeight="1" x14ac:dyDescent="0.2">
      <c r="B72" s="170" t="s">
        <v>632</v>
      </c>
      <c r="C72" s="166" t="s">
        <v>494</v>
      </c>
      <c r="D72" s="165" t="s">
        <v>51</v>
      </c>
      <c r="E72" s="100">
        <v>35</v>
      </c>
    </row>
    <row r="73" spans="1:7" ht="77.45" customHeight="1" x14ac:dyDescent="0.2">
      <c r="B73" s="170" t="s">
        <v>633</v>
      </c>
      <c r="C73" s="166" t="s">
        <v>495</v>
      </c>
      <c r="D73" s="165" t="s">
        <v>52</v>
      </c>
      <c r="E73" s="100">
        <v>53</v>
      </c>
    </row>
    <row r="74" spans="1:7" ht="67.7" customHeight="1" x14ac:dyDescent="0.2">
      <c r="A74" s="106"/>
      <c r="B74" s="170" t="s">
        <v>634</v>
      </c>
      <c r="C74" s="166" t="s">
        <v>540</v>
      </c>
      <c r="D74" s="165" t="s">
        <v>402</v>
      </c>
      <c r="E74" s="100">
        <v>36</v>
      </c>
    </row>
    <row r="75" spans="1:7" s="19" customFormat="1" ht="52.7" customHeight="1" x14ac:dyDescent="0.2">
      <c r="A75" s="2"/>
      <c r="B75" s="170" t="s">
        <v>635</v>
      </c>
      <c r="C75" s="166" t="s">
        <v>496</v>
      </c>
      <c r="D75" s="165" t="s">
        <v>497</v>
      </c>
      <c r="E75" s="100">
        <v>42</v>
      </c>
      <c r="F75" s="103"/>
      <c r="G75" s="103"/>
    </row>
    <row r="76" spans="1:7" ht="43.35" customHeight="1" x14ac:dyDescent="0.2">
      <c r="B76" s="170" t="s">
        <v>183</v>
      </c>
      <c r="C76" s="166" t="s">
        <v>403</v>
      </c>
      <c r="D76" s="165" t="s">
        <v>498</v>
      </c>
      <c r="E76" s="100">
        <v>43</v>
      </c>
    </row>
    <row r="77" spans="1:7" ht="36.6" customHeight="1" x14ac:dyDescent="0.2">
      <c r="A77" s="10"/>
      <c r="B77" s="170" t="s">
        <v>184</v>
      </c>
      <c r="C77" s="166" t="s">
        <v>157</v>
      </c>
      <c r="D77" s="165" t="s">
        <v>499</v>
      </c>
      <c r="E77" s="100">
        <v>44</v>
      </c>
    </row>
    <row r="78" spans="1:7" ht="45.6" customHeight="1" x14ac:dyDescent="0.2">
      <c r="A78" s="10"/>
      <c r="B78" s="170" t="s">
        <v>185</v>
      </c>
      <c r="C78" s="166" t="s">
        <v>53</v>
      </c>
      <c r="D78" s="165" t="s">
        <v>500</v>
      </c>
      <c r="E78" s="100">
        <v>45</v>
      </c>
    </row>
    <row r="79" spans="1:7" s="10" customFormat="1" ht="27.75" customHeight="1" x14ac:dyDescent="0.2">
      <c r="B79" s="170" t="s">
        <v>186</v>
      </c>
      <c r="C79" s="166" t="s">
        <v>501</v>
      </c>
      <c r="D79" s="165" t="s">
        <v>502</v>
      </c>
      <c r="E79" s="100">
        <v>46</v>
      </c>
      <c r="F79" s="101"/>
      <c r="G79" s="101"/>
    </row>
    <row r="80" spans="1:7" s="10" customFormat="1" ht="27.75" customHeight="1" x14ac:dyDescent="0.2">
      <c r="A80" s="2"/>
      <c r="B80" s="167"/>
      <c r="C80" s="166" t="s">
        <v>503</v>
      </c>
      <c r="D80" s="165" t="s">
        <v>116</v>
      </c>
      <c r="E80" s="100">
        <v>48</v>
      </c>
      <c r="F80" s="101"/>
      <c r="G80" s="101"/>
    </row>
    <row r="81" spans="2:16" ht="43.35" customHeight="1" x14ac:dyDescent="0.2">
      <c r="B81" s="167"/>
      <c r="C81" s="176" t="s">
        <v>504</v>
      </c>
      <c r="D81" s="177" t="s">
        <v>383</v>
      </c>
      <c r="E81" s="100">
        <v>49</v>
      </c>
      <c r="H81" s="10"/>
      <c r="I81" s="10"/>
      <c r="J81" s="10"/>
      <c r="K81" s="10"/>
      <c r="L81" s="10"/>
      <c r="M81" s="10"/>
      <c r="N81" s="10"/>
      <c r="O81" s="10"/>
      <c r="P81" s="10"/>
    </row>
    <row r="82" spans="2:16" ht="30.6" customHeight="1" thickBot="1" x14ac:dyDescent="0.25">
      <c r="B82" s="178"/>
      <c r="C82" s="179" t="s">
        <v>505</v>
      </c>
      <c r="D82" s="180" t="s">
        <v>385</v>
      </c>
      <c r="E82" s="100">
        <v>50</v>
      </c>
      <c r="H82" s="10"/>
      <c r="I82" s="10"/>
      <c r="J82" s="10"/>
      <c r="K82" s="10"/>
      <c r="L82" s="10"/>
      <c r="M82" s="10"/>
      <c r="N82" s="10"/>
      <c r="O82" s="10"/>
      <c r="P82" s="10"/>
    </row>
    <row r="83" spans="2:16" x14ac:dyDescent="0.2">
      <c r="B83" s="99"/>
      <c r="C83" s="40"/>
      <c r="D83" s="40"/>
    </row>
    <row r="84" spans="2:16" x14ac:dyDescent="0.2">
      <c r="B84" s="99"/>
      <c r="C84" s="40"/>
      <c r="D84" s="40"/>
    </row>
    <row r="85" spans="2:16" x14ac:dyDescent="0.2">
      <c r="B85" s="99"/>
      <c r="C85" s="40"/>
      <c r="D85" s="40"/>
    </row>
    <row r="86" spans="2:16" x14ac:dyDescent="0.2">
      <c r="B86" s="99"/>
      <c r="C86" s="40"/>
      <c r="D86" s="40"/>
    </row>
    <row r="87" spans="2:16" x14ac:dyDescent="0.2">
      <c r="B87" s="99"/>
      <c r="C87" s="40"/>
      <c r="D87" s="40"/>
    </row>
    <row r="88" spans="2:16" x14ac:dyDescent="0.2">
      <c r="B88" s="99"/>
      <c r="C88" s="40"/>
      <c r="D88" s="40"/>
    </row>
    <row r="89" spans="2:16" x14ac:dyDescent="0.2">
      <c r="B89" s="99"/>
      <c r="C89" s="40"/>
      <c r="D89" s="40"/>
    </row>
    <row r="90" spans="2:16" x14ac:dyDescent="0.2">
      <c r="B90" s="99"/>
      <c r="C90" s="40"/>
      <c r="D90" s="40"/>
    </row>
    <row r="91" spans="2:16" x14ac:dyDescent="0.2">
      <c r="B91" s="99"/>
      <c r="C91" s="40"/>
      <c r="D91" s="40"/>
    </row>
    <row r="92" spans="2:16" x14ac:dyDescent="0.2">
      <c r="B92" s="99"/>
      <c r="C92" s="40"/>
      <c r="D92" s="40"/>
    </row>
    <row r="93" spans="2:16" x14ac:dyDescent="0.2">
      <c r="B93" s="99"/>
      <c r="C93" s="40"/>
      <c r="D93" s="40"/>
    </row>
    <row r="94" spans="2:16" x14ac:dyDescent="0.2">
      <c r="B94" s="99"/>
      <c r="C94" s="40"/>
      <c r="D94" s="40"/>
    </row>
    <row r="95" spans="2:16" x14ac:dyDescent="0.2">
      <c r="B95" s="99"/>
      <c r="C95" s="40"/>
      <c r="D95" s="40"/>
    </row>
    <row r="96" spans="2:16" x14ac:dyDescent="0.2">
      <c r="B96" s="99"/>
      <c r="C96" s="40"/>
      <c r="D96" s="40"/>
    </row>
    <row r="97" spans="2:4" x14ac:dyDescent="0.2">
      <c r="B97" s="99"/>
      <c r="C97" s="40"/>
      <c r="D97" s="40"/>
    </row>
    <row r="98" spans="2:4" x14ac:dyDescent="0.2">
      <c r="B98" s="99"/>
      <c r="C98" s="40"/>
      <c r="D98" s="40"/>
    </row>
    <row r="99" spans="2:4" x14ac:dyDescent="0.2">
      <c r="B99" s="99"/>
      <c r="C99" s="40"/>
      <c r="D99" s="40"/>
    </row>
    <row r="100" spans="2:4" x14ac:dyDescent="0.2">
      <c r="B100" s="99"/>
      <c r="C100" s="40"/>
      <c r="D100" s="40"/>
    </row>
    <row r="101" spans="2:4" x14ac:dyDescent="0.2">
      <c r="B101" s="99"/>
      <c r="C101" s="40"/>
      <c r="D101" s="40"/>
    </row>
    <row r="102" spans="2:4" x14ac:dyDescent="0.2">
      <c r="B102" s="99"/>
      <c r="C102" s="40"/>
      <c r="D102" s="40"/>
    </row>
    <row r="103" spans="2:4" x14ac:dyDescent="0.2">
      <c r="B103" s="99"/>
      <c r="C103" s="40"/>
      <c r="D103" s="40"/>
    </row>
    <row r="104" spans="2:4" x14ac:dyDescent="0.2">
      <c r="B104" s="99"/>
      <c r="C104" s="40"/>
      <c r="D104" s="40"/>
    </row>
    <row r="105" spans="2:4" x14ac:dyDescent="0.2">
      <c r="B105" s="99"/>
      <c r="C105" s="40"/>
      <c r="D105" s="40"/>
    </row>
    <row r="106" spans="2:4" x14ac:dyDescent="0.2">
      <c r="B106" s="99"/>
      <c r="C106" s="40"/>
      <c r="D106" s="40"/>
    </row>
  </sheetData>
  <mergeCells count="4">
    <mergeCell ref="B3:D3"/>
    <mergeCell ref="B5:D5"/>
    <mergeCell ref="B17:D17"/>
    <mergeCell ref="B6:D6"/>
  </mergeCells>
  <phoneticPr fontId="10" type="noConversion"/>
  <printOptions horizontalCentered="1"/>
  <pageMargins left="0.5" right="0.5" top="0.75" bottom="0.75" header="0.5" footer="0.5"/>
  <pageSetup paperSize="9" scale="91" firstPageNumber="6" fitToHeight="0" orientation="landscape"/>
  <headerFooter alignWithMargins="0">
    <oddFooter>&amp;C&amp;"Arial,Regular"UNSD/Programa de las Naciones Unidas para el Medio Ambiente Cuestionario 2018 Estadisticas Ambientales -  Sección del Agua -  &amp;P</oddFooter>
  </headerFooter>
  <rowBreaks count="6" manualBreakCount="6">
    <brk id="13" min="1" max="3" man="1"/>
    <brk id="28" min="1" max="3" man="1"/>
    <brk id="38" min="1" max="3" man="1"/>
    <brk id="51" min="1" max="3" man="1"/>
    <brk id="62" min="1" max="3" man="1"/>
    <brk id="71" min="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A1:DS66"/>
  <sheetViews>
    <sheetView showGridLines="0" zoomScale="85" zoomScaleNormal="85" zoomScaleSheetLayoutView="55" zoomScalePageLayoutView="40" workbookViewId="0"/>
  </sheetViews>
  <sheetFormatPr defaultColWidth="9.33203125" defaultRowHeight="12.75" x14ac:dyDescent="0.2"/>
  <cols>
    <col min="1" max="2" width="2.33203125" style="47" customWidth="1"/>
    <col min="3" max="3" width="2" style="47" customWidth="1"/>
    <col min="4" max="4" width="2.33203125" style="47" customWidth="1"/>
    <col min="5" max="5" width="18.6640625" style="47" customWidth="1"/>
    <col min="6" max="6" width="19" style="47" customWidth="1"/>
    <col min="7" max="7" width="19.33203125" style="47" customWidth="1"/>
    <col min="8" max="10" width="19.83203125" style="47" customWidth="1"/>
    <col min="11" max="11" width="19.1640625" style="47" customWidth="1"/>
    <col min="12" max="12" width="21.33203125" style="47" customWidth="1"/>
    <col min="13" max="13" width="2.1640625" style="47" customWidth="1"/>
    <col min="14" max="14" width="8.33203125" style="47" customWidth="1"/>
    <col min="15" max="15" width="3.1640625" style="47" customWidth="1"/>
    <col min="16" max="16" width="23.33203125" style="47" customWidth="1"/>
    <col min="17" max="17" width="13.83203125" style="47" customWidth="1"/>
    <col min="18" max="18" width="19" style="47" customWidth="1"/>
    <col min="19" max="20" width="10.33203125" style="47" customWidth="1"/>
    <col min="21" max="21" width="5.83203125" style="47" customWidth="1"/>
    <col min="22" max="22" width="24.33203125" style="47" customWidth="1"/>
    <col min="23" max="23" width="6.33203125" style="47" customWidth="1"/>
    <col min="24" max="24" width="2.6640625" style="47" customWidth="1"/>
    <col min="25" max="25" width="12" style="47" bestFit="1" customWidth="1"/>
    <col min="26" max="26" width="8.1640625" style="47" customWidth="1"/>
    <col min="27" max="27" width="17" style="47" customWidth="1"/>
    <col min="28" max="28" width="2.33203125" style="47" customWidth="1"/>
    <col min="29" max="29" width="12" style="47" bestFit="1" customWidth="1"/>
    <col min="30" max="30" width="8.33203125" style="47" customWidth="1"/>
    <col min="31" max="31" width="16.6640625" style="47" customWidth="1"/>
    <col min="32" max="32" width="2.6640625" style="47" customWidth="1"/>
    <col min="33" max="33" width="12" style="47" bestFit="1" customWidth="1"/>
    <col min="34" max="34" width="8.83203125" style="47" customWidth="1"/>
    <col min="35" max="35" width="17.6640625" style="47" customWidth="1"/>
    <col min="36" max="36" width="2.1640625" style="47" customWidth="1"/>
    <col min="37" max="37" width="12" style="47" bestFit="1" customWidth="1"/>
    <col min="38" max="38" width="3.1640625" style="47" customWidth="1"/>
    <col min="39" max="39" width="11.83203125" style="47" customWidth="1"/>
    <col min="40" max="40" width="4" style="47" customWidth="1"/>
    <col min="41" max="41" width="11.33203125" style="47" customWidth="1"/>
    <col min="42" max="42" width="2.33203125" style="47" customWidth="1"/>
    <col min="43" max="43" width="9.33203125" style="47" customWidth="1"/>
    <col min="44" max="44" width="2" style="47" customWidth="1"/>
    <col min="45" max="45" width="2.6640625" style="47" customWidth="1"/>
    <col min="46" max="16384" width="9.33203125" style="47"/>
  </cols>
  <sheetData>
    <row r="1" spans="1:123" ht="15.75" x14ac:dyDescent="0.25">
      <c r="A1" s="45"/>
      <c r="B1" s="45"/>
      <c r="C1" s="45"/>
      <c r="D1" s="45"/>
      <c r="E1" s="46" t="s">
        <v>388</v>
      </c>
      <c r="F1" s="46"/>
      <c r="G1" s="46"/>
      <c r="H1" s="46"/>
      <c r="I1" s="46"/>
      <c r="J1" s="46"/>
      <c r="K1" s="46"/>
      <c r="L1" s="46"/>
      <c r="M1" s="46"/>
      <c r="N1" s="46"/>
      <c r="O1" s="46"/>
      <c r="P1" s="46"/>
      <c r="Q1" s="46"/>
      <c r="R1" s="46"/>
      <c r="S1" s="46"/>
      <c r="T1" s="46"/>
      <c r="U1" s="46"/>
      <c r="V1" s="46"/>
      <c r="W1" s="46"/>
      <c r="X1" s="46"/>
      <c r="Y1" s="91"/>
      <c r="Z1" s="91"/>
      <c r="AA1" s="91"/>
      <c r="AB1" s="91"/>
      <c r="AC1" s="91"/>
      <c r="AD1" s="91"/>
      <c r="AE1" s="91"/>
      <c r="AF1" s="91"/>
      <c r="AG1" s="91"/>
      <c r="AH1" s="91"/>
      <c r="AI1" s="91"/>
      <c r="AJ1" s="91"/>
      <c r="AK1" s="91"/>
      <c r="AL1" s="91"/>
      <c r="AM1" s="91"/>
      <c r="AN1" s="91"/>
      <c r="AO1" s="91"/>
      <c r="AP1" s="91"/>
      <c r="AQ1" s="91"/>
      <c r="AR1" s="91"/>
      <c r="AS1" s="91"/>
      <c r="AT1" s="92"/>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row>
    <row r="2" spans="1:123" s="18" customFormat="1" ht="33" customHeight="1" x14ac:dyDescent="0.2">
      <c r="A2" s="104"/>
      <c r="B2" s="104"/>
      <c r="C2" s="104"/>
      <c r="D2" s="104"/>
      <c r="E2" s="761" t="s">
        <v>506</v>
      </c>
      <c r="F2" s="761"/>
      <c r="G2" s="761"/>
      <c r="H2" s="761"/>
      <c r="I2" s="761"/>
      <c r="J2" s="761"/>
      <c r="K2" s="761"/>
      <c r="L2" s="761"/>
      <c r="M2" s="761"/>
      <c r="N2" s="761"/>
      <c r="O2" s="761"/>
      <c r="P2" s="761"/>
      <c r="Q2" s="761"/>
      <c r="R2" s="761"/>
      <c r="S2" s="761"/>
      <c r="T2" s="761"/>
      <c r="U2" s="761"/>
      <c r="V2" s="761"/>
      <c r="W2" s="761"/>
      <c r="X2" s="761"/>
      <c r="Y2" s="94"/>
      <c r="Z2" s="94"/>
      <c r="AA2" s="94"/>
      <c r="AB2" s="94"/>
      <c r="AC2" s="94"/>
      <c r="AD2" s="94"/>
      <c r="AE2" s="94"/>
      <c r="AF2" s="53"/>
      <c r="AG2" s="93"/>
      <c r="AH2" s="108"/>
      <c r="AI2" s="108"/>
      <c r="AJ2" s="108"/>
      <c r="AK2" s="108"/>
      <c r="AL2" s="108"/>
      <c r="AM2" s="108"/>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row>
    <row r="3" spans="1:123" x14ac:dyDescent="0.2">
      <c r="A3" s="45"/>
      <c r="B3" s="45"/>
      <c r="C3" s="45"/>
      <c r="D3" s="45"/>
      <c r="E3" s="181"/>
      <c r="F3" s="182"/>
      <c r="G3" s="182"/>
      <c r="H3" s="183"/>
      <c r="I3" s="183"/>
      <c r="J3" s="183"/>
      <c r="K3" s="124"/>
      <c r="L3" s="14"/>
      <c r="M3" s="38"/>
      <c r="N3" s="37"/>
      <c r="O3" s="38"/>
      <c r="P3" s="37"/>
      <c r="Q3" s="38"/>
      <c r="R3" s="37"/>
      <c r="S3" s="38"/>
      <c r="T3" s="38"/>
      <c r="U3" s="38"/>
      <c r="V3" s="38"/>
      <c r="W3" s="38"/>
      <c r="X3" s="14"/>
      <c r="Y3" s="38"/>
      <c r="Z3" s="14"/>
      <c r="AA3" s="38"/>
      <c r="AB3" s="14"/>
      <c r="AC3" s="38"/>
      <c r="AD3" s="14"/>
      <c r="AE3" s="38"/>
      <c r="AF3" s="37"/>
      <c r="AG3" s="38"/>
      <c r="AH3" s="14"/>
      <c r="AI3" s="38"/>
      <c r="AJ3" s="14"/>
      <c r="AK3" s="38"/>
      <c r="AL3" s="14"/>
      <c r="AM3" s="39"/>
      <c r="AN3" s="92"/>
      <c r="AO3" s="92"/>
      <c r="AP3" s="92"/>
      <c r="AQ3" s="92"/>
      <c r="AR3" s="92"/>
      <c r="AS3" s="92"/>
      <c r="AT3" s="92"/>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row>
    <row r="4" spans="1:123" ht="15.75" x14ac:dyDescent="0.25">
      <c r="A4" s="45"/>
      <c r="B4" s="45"/>
      <c r="C4" s="45"/>
      <c r="D4" s="45"/>
      <c r="E4" s="762" t="s">
        <v>507</v>
      </c>
      <c r="F4" s="762"/>
      <c r="G4" s="762"/>
      <c r="H4" s="762"/>
      <c r="I4" s="762"/>
      <c r="J4" s="762"/>
      <c r="K4" s="762"/>
      <c r="L4" s="762"/>
      <c r="M4" s="762"/>
      <c r="N4" s="762"/>
      <c r="O4" s="762"/>
      <c r="P4" s="762"/>
      <c r="Q4" s="762"/>
      <c r="R4" s="762"/>
      <c r="S4" s="762"/>
      <c r="T4" s="762"/>
      <c r="U4" s="762"/>
      <c r="V4" s="762"/>
      <c r="W4" s="762"/>
      <c r="X4" s="762"/>
      <c r="Y4" s="91"/>
      <c r="Z4" s="91"/>
      <c r="AA4" s="91"/>
      <c r="AB4" s="91"/>
      <c r="AC4" s="91"/>
      <c r="AD4" s="91"/>
      <c r="AE4" s="91"/>
      <c r="AF4" s="91"/>
      <c r="AG4" s="91"/>
      <c r="AH4" s="91"/>
      <c r="AI4" s="91"/>
      <c r="AJ4" s="91"/>
      <c r="AK4" s="91"/>
      <c r="AL4" s="91"/>
      <c r="AM4" s="91"/>
      <c r="AN4" s="91"/>
      <c r="AO4" s="91"/>
      <c r="AP4" s="91"/>
      <c r="AQ4" s="91"/>
      <c r="AR4" s="91"/>
      <c r="AS4" s="91"/>
      <c r="AT4" s="92"/>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row>
    <row r="5" spans="1:123" ht="13.5" thickBot="1" x14ac:dyDescent="0.25">
      <c r="A5" s="45"/>
      <c r="B5" s="45"/>
      <c r="C5" s="45"/>
      <c r="D5" s="45"/>
      <c r="E5" s="45"/>
      <c r="F5" s="45"/>
      <c r="G5" s="45"/>
      <c r="H5" s="45"/>
      <c r="I5" s="45"/>
      <c r="J5" s="45"/>
      <c r="K5" s="45"/>
      <c r="L5" s="45"/>
      <c r="M5" s="45"/>
      <c r="N5" s="45"/>
      <c r="O5" s="45"/>
      <c r="P5" s="45"/>
      <c r="Q5" s="45"/>
      <c r="R5" s="45"/>
      <c r="S5" s="45"/>
      <c r="T5" s="45"/>
      <c r="U5" s="45"/>
      <c r="V5" s="45"/>
      <c r="W5" s="45"/>
      <c r="X5" s="45"/>
      <c r="Y5" s="92"/>
      <c r="Z5" s="92"/>
      <c r="AA5" s="92"/>
      <c r="AB5" s="92"/>
      <c r="AC5" s="92"/>
      <c r="AD5" s="92"/>
      <c r="AE5" s="92"/>
      <c r="AF5" s="92"/>
      <c r="AG5" s="92"/>
      <c r="AH5" s="92"/>
      <c r="AI5" s="92"/>
      <c r="AJ5" s="92"/>
      <c r="AK5" s="92"/>
      <c r="AL5" s="92"/>
      <c r="AM5" s="92"/>
      <c r="AN5" s="92"/>
      <c r="AO5" s="92"/>
      <c r="AP5" s="92"/>
      <c r="AQ5" s="92"/>
      <c r="AR5" s="92"/>
      <c r="AS5" s="92"/>
      <c r="AT5" s="92"/>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row>
    <row r="6" spans="1:123" ht="12.75" customHeight="1" x14ac:dyDescent="0.25">
      <c r="A6" s="45"/>
      <c r="B6" s="45"/>
      <c r="C6" s="56"/>
      <c r="D6" s="66"/>
      <c r="E6" s="57"/>
      <c r="F6" s="58"/>
      <c r="G6" s="58"/>
      <c r="H6" s="57"/>
      <c r="I6" s="57"/>
      <c r="J6" s="57"/>
      <c r="K6" s="58"/>
      <c r="L6" s="58"/>
      <c r="M6" s="58"/>
      <c r="N6" s="58"/>
      <c r="O6" s="58"/>
      <c r="P6" s="58"/>
      <c r="Q6" s="58"/>
      <c r="R6" s="59"/>
      <c r="S6" s="58"/>
      <c r="T6" s="58"/>
      <c r="U6" s="58"/>
      <c r="V6" s="58"/>
      <c r="W6" s="58"/>
      <c r="X6" s="60"/>
      <c r="Y6" s="92"/>
      <c r="Z6" s="92"/>
      <c r="AA6" s="92"/>
      <c r="AB6" s="92"/>
      <c r="AC6" s="92"/>
      <c r="AD6" s="92"/>
      <c r="AE6" s="92"/>
      <c r="AF6" s="92"/>
      <c r="AG6" s="92"/>
      <c r="AH6" s="92"/>
      <c r="AI6" s="92"/>
      <c r="AJ6" s="92"/>
      <c r="AK6" s="92"/>
      <c r="AL6" s="92"/>
      <c r="AM6" s="92"/>
      <c r="AN6" s="92"/>
      <c r="AO6" s="92"/>
      <c r="AP6" s="92"/>
      <c r="AQ6" s="92"/>
      <c r="AR6" s="92"/>
      <c r="AS6" s="92"/>
      <c r="AT6" s="92"/>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row>
    <row r="7" spans="1:123" x14ac:dyDescent="0.2">
      <c r="A7" s="45"/>
      <c r="B7" s="45"/>
      <c r="C7" s="61"/>
      <c r="D7" s="68"/>
      <c r="E7" s="69"/>
      <c r="F7" s="70"/>
      <c r="G7" s="70"/>
      <c r="H7" s="70"/>
      <c r="I7" s="70"/>
      <c r="J7" s="70"/>
      <c r="K7" s="70"/>
      <c r="L7" s="70"/>
      <c r="M7" s="70"/>
      <c r="N7" s="70"/>
      <c r="O7" s="70"/>
      <c r="P7" s="70"/>
      <c r="Q7" s="70"/>
      <c r="R7" s="70"/>
      <c r="S7" s="70"/>
      <c r="T7" s="71"/>
      <c r="U7" s="70"/>
      <c r="V7" s="70"/>
      <c r="W7" s="72"/>
      <c r="X7" s="62"/>
      <c r="Y7" s="92"/>
      <c r="Z7" s="92"/>
      <c r="AA7" s="92"/>
      <c r="AB7" s="92"/>
      <c r="AC7" s="92"/>
      <c r="AD7" s="92"/>
      <c r="AE7" s="92"/>
      <c r="AF7" s="92"/>
      <c r="AG7" s="92"/>
      <c r="AH7" s="92"/>
      <c r="AI7" s="92"/>
      <c r="AJ7" s="92"/>
      <c r="AK7" s="92"/>
      <c r="AL7" s="92"/>
      <c r="AM7" s="92"/>
      <c r="AN7" s="92"/>
      <c r="AO7" s="92"/>
      <c r="AP7" s="92"/>
      <c r="AQ7" s="92"/>
      <c r="AR7" s="92"/>
      <c r="AS7" s="92"/>
      <c r="AT7" s="92"/>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row>
    <row r="8" spans="1:123" ht="43.5" customHeight="1" x14ac:dyDescent="0.2">
      <c r="A8" s="45"/>
      <c r="B8" s="45"/>
      <c r="C8" s="61"/>
      <c r="D8" s="73"/>
      <c r="E8" s="50"/>
      <c r="F8" s="83"/>
      <c r="G8" s="84" t="str">
        <f>'W1'!D8&amp;" (W1,1)"</f>
        <v>Precipitación                              (W1,1)</v>
      </c>
      <c r="H8" s="84" t="str">
        <f>'W1'!D9&amp;" (W1,2)"</f>
        <v>Evapotranspiración real (W1,2)</v>
      </c>
      <c r="I8" s="37"/>
      <c r="J8" s="37"/>
      <c r="K8" s="83"/>
      <c r="L8" s="83"/>
      <c r="M8" s="83"/>
      <c r="N8" s="83"/>
      <c r="O8" s="83"/>
      <c r="P8" s="83"/>
      <c r="Q8" s="83"/>
      <c r="R8" s="83"/>
      <c r="S8" s="83"/>
      <c r="T8" s="83"/>
      <c r="U8" s="83"/>
      <c r="V8" s="83"/>
      <c r="W8" s="74"/>
      <c r="X8" s="62"/>
      <c r="Y8" s="92"/>
      <c r="Z8" s="92"/>
      <c r="AA8" s="92"/>
      <c r="AB8" s="92"/>
      <c r="AC8" s="92"/>
      <c r="AD8" s="92"/>
      <c r="AE8" s="92"/>
      <c r="AF8" s="92"/>
      <c r="AG8" s="92"/>
      <c r="AH8" s="92"/>
      <c r="AI8" s="92"/>
      <c r="AJ8" s="92"/>
      <c r="AK8" s="92"/>
      <c r="AL8" s="92"/>
      <c r="AM8" s="92"/>
      <c r="AN8" s="92"/>
      <c r="AO8" s="92"/>
      <c r="AP8" s="92"/>
      <c r="AQ8" s="92"/>
      <c r="AR8" s="92"/>
      <c r="AS8" s="92"/>
      <c r="AT8" s="92"/>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row>
    <row r="9" spans="1:123" x14ac:dyDescent="0.2">
      <c r="A9" s="45"/>
      <c r="B9" s="45"/>
      <c r="C9" s="61"/>
      <c r="D9" s="73"/>
      <c r="E9" s="85"/>
      <c r="F9" s="83"/>
      <c r="G9" s="86"/>
      <c r="H9" s="86"/>
      <c r="I9" s="86"/>
      <c r="J9" s="86"/>
      <c r="K9" s="83"/>
      <c r="L9" s="83"/>
      <c r="M9" s="83"/>
      <c r="N9" s="83"/>
      <c r="O9" s="83"/>
      <c r="P9" s="83"/>
      <c r="Q9" s="83"/>
      <c r="R9" s="83"/>
      <c r="S9" s="83"/>
      <c r="T9" s="83"/>
      <c r="U9" s="83"/>
      <c r="V9" s="83"/>
      <c r="W9" s="74"/>
      <c r="X9" s="62"/>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row>
    <row r="10" spans="1:123" ht="6" customHeight="1" x14ac:dyDescent="0.2">
      <c r="A10" s="45"/>
      <c r="B10" s="45"/>
      <c r="C10" s="61"/>
      <c r="D10" s="73"/>
      <c r="E10" s="50"/>
      <c r="F10" s="83"/>
      <c r="G10" s="83"/>
      <c r="H10" s="83"/>
      <c r="I10" s="83"/>
      <c r="J10" s="83"/>
      <c r="K10" s="83"/>
      <c r="L10" s="83"/>
      <c r="M10" s="83"/>
      <c r="N10" s="83"/>
      <c r="O10" s="83"/>
      <c r="P10" s="83"/>
      <c r="Q10" s="83"/>
      <c r="R10" s="83"/>
      <c r="S10" s="83"/>
      <c r="T10" s="83"/>
      <c r="U10" s="83"/>
      <c r="V10" s="83"/>
      <c r="W10" s="74"/>
      <c r="X10" s="62"/>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row>
    <row r="11" spans="1:123" ht="27" customHeight="1" x14ac:dyDescent="0.2">
      <c r="A11" s="45"/>
      <c r="B11" s="45"/>
      <c r="C11" s="61"/>
      <c r="D11" s="73"/>
      <c r="E11" s="50"/>
      <c r="F11" s="83"/>
      <c r="G11" s="743" t="str">
        <f>LEFT('W1'!D10,LEN('W1'!D10)-7)&amp;" (W1,3)"</f>
        <v>Flujo interno (W1,3)</v>
      </c>
      <c r="H11" s="745"/>
      <c r="I11" s="614"/>
      <c r="J11" s="614"/>
      <c r="K11" s="83"/>
      <c r="M11" s="83"/>
      <c r="N11" s="83"/>
      <c r="O11" s="83"/>
      <c r="P11" s="83"/>
      <c r="Q11" s="83"/>
      <c r="R11" s="755" t="s">
        <v>451</v>
      </c>
      <c r="S11" s="757" t="s">
        <v>454</v>
      </c>
      <c r="T11" s="758"/>
      <c r="U11" s="83"/>
      <c r="V11" s="83"/>
      <c r="W11" s="74"/>
      <c r="X11" s="62"/>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row>
    <row r="12" spans="1:123" s="48" customFormat="1" ht="30" customHeight="1" x14ac:dyDescent="0.2">
      <c r="A12" s="45"/>
      <c r="B12" s="45"/>
      <c r="C12" s="61"/>
      <c r="D12" s="73"/>
      <c r="E12" s="50"/>
      <c r="F12" s="86"/>
      <c r="G12" s="86"/>
      <c r="H12" s="86"/>
      <c r="I12" s="86"/>
      <c r="J12" s="86"/>
      <c r="K12" s="86"/>
      <c r="L12" s="743" t="str">
        <f>'W1'!D13&amp;" (W1,6)"</f>
        <v>Caudal de salida de aguas superficiales y subterráneas hacia países vecinos (W1,6)</v>
      </c>
      <c r="M12" s="744"/>
      <c r="N12" s="745"/>
      <c r="O12" s="86"/>
      <c r="P12" s="83"/>
      <c r="Q12" s="83"/>
      <c r="R12" s="756"/>
      <c r="S12" s="759"/>
      <c r="T12" s="760"/>
      <c r="U12" s="83"/>
      <c r="V12" s="83"/>
      <c r="W12" s="74"/>
      <c r="X12" s="62"/>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row>
    <row r="13" spans="1:123" ht="46.5" customHeight="1" x14ac:dyDescent="0.2">
      <c r="A13" s="45"/>
      <c r="B13" s="45"/>
      <c r="C13" s="61"/>
      <c r="D13" s="73"/>
      <c r="E13" s="84" t="str">
        <f>'W1'!D11&amp;" (W1,4)"</f>
        <v>Caudal de entrada de aguas superficiales y subterráneas desde países vecinos (W1,4)</v>
      </c>
      <c r="F13" s="83"/>
      <c r="G13" s="84" t="str">
        <f>LEFT('W1'!D12,LEN('W1'!D12)-7)&amp;" (W1,5)"</f>
        <v>Recursos renovables de agua dulce (W1,5)</v>
      </c>
      <c r="H13" s="83"/>
      <c r="I13" s="83"/>
      <c r="J13" s="83"/>
      <c r="M13" s="83"/>
      <c r="N13" s="83"/>
      <c r="O13" s="83"/>
      <c r="P13" s="83"/>
      <c r="Q13" s="83"/>
      <c r="R13" s="83"/>
      <c r="S13" s="83"/>
      <c r="T13" s="52"/>
      <c r="U13" s="83"/>
      <c r="V13" s="83"/>
      <c r="W13" s="74"/>
      <c r="X13" s="62"/>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row>
    <row r="14" spans="1:123" ht="24.75" customHeight="1" x14ac:dyDescent="0.2">
      <c r="A14" s="45"/>
      <c r="B14" s="45"/>
      <c r="C14" s="61"/>
      <c r="D14" s="73"/>
      <c r="E14" s="50"/>
      <c r="F14" s="83"/>
      <c r="G14" s="83"/>
      <c r="H14" s="83"/>
      <c r="I14" s="83"/>
      <c r="J14" s="83"/>
      <c r="K14" s="83"/>
      <c r="L14" s="743" t="str">
        <f>'W1'!D16&amp;" (W1,9)"</f>
        <v>Caudal de salida de aguas superficiales y subterráneas hacia el mar (W1,9)</v>
      </c>
      <c r="M14" s="744"/>
      <c r="N14" s="745"/>
      <c r="O14" s="83"/>
      <c r="P14" s="83"/>
      <c r="Q14" s="83"/>
      <c r="R14" s="83"/>
      <c r="S14" s="83"/>
      <c r="T14" s="83"/>
      <c r="U14" s="83"/>
      <c r="V14" s="83"/>
      <c r="W14" s="74"/>
      <c r="X14" s="62"/>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row>
    <row r="15" spans="1:123" ht="9.75" customHeight="1" x14ac:dyDescent="0.2">
      <c r="A15" s="45"/>
      <c r="B15" s="45"/>
      <c r="C15" s="61"/>
      <c r="D15" s="73"/>
      <c r="E15" s="50"/>
      <c r="F15" s="83"/>
      <c r="G15" s="83"/>
      <c r="H15" s="83"/>
      <c r="I15" s="83"/>
      <c r="J15" s="83"/>
      <c r="K15" s="83"/>
      <c r="L15" s="83"/>
      <c r="M15" s="83"/>
      <c r="N15" s="83"/>
      <c r="O15" s="83"/>
      <c r="P15" s="83"/>
      <c r="Q15" s="83"/>
      <c r="R15" s="83"/>
      <c r="S15" s="83"/>
      <c r="T15" s="83"/>
      <c r="U15" s="83"/>
      <c r="V15" s="83"/>
      <c r="W15" s="74"/>
      <c r="X15" s="62"/>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row>
    <row r="16" spans="1:123" x14ac:dyDescent="0.2">
      <c r="A16" s="45"/>
      <c r="B16" s="45"/>
      <c r="C16" s="61"/>
      <c r="D16" s="73"/>
      <c r="E16" s="763" t="str">
        <f>'W2'!D13</f>
        <v>de la cual extraída por:</v>
      </c>
      <c r="F16" s="764"/>
      <c r="G16" s="764"/>
      <c r="H16" s="764"/>
      <c r="I16" s="764"/>
      <c r="J16" s="764"/>
      <c r="K16" s="764"/>
      <c r="L16" s="765"/>
      <c r="M16" s="83"/>
      <c r="N16" s="83"/>
      <c r="O16" s="83"/>
      <c r="P16" s="83"/>
      <c r="Q16" s="83"/>
      <c r="R16" s="83"/>
      <c r="S16" s="83"/>
      <c r="T16" s="83"/>
      <c r="U16" s="83"/>
      <c r="V16" s="83"/>
      <c r="W16" s="74"/>
      <c r="X16" s="62"/>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row>
    <row r="17" spans="1:102" ht="39.75" customHeight="1" x14ac:dyDescent="0.2">
      <c r="A17" s="45"/>
      <c r="B17" s="45"/>
      <c r="C17" s="61"/>
      <c r="D17" s="73"/>
      <c r="E17" s="83"/>
      <c r="F17" s="83"/>
      <c r="G17" s="83"/>
      <c r="H17" s="83"/>
      <c r="I17" s="83"/>
      <c r="J17" s="83"/>
      <c r="K17" s="83"/>
      <c r="L17" s="83"/>
      <c r="M17" s="83"/>
      <c r="N17" s="83"/>
      <c r="O17" s="83"/>
      <c r="P17" s="83"/>
      <c r="Q17" s="83"/>
      <c r="R17" s="83"/>
      <c r="S17" s="83"/>
      <c r="T17" s="83"/>
      <c r="U17" s="83"/>
      <c r="V17" s="83"/>
      <c r="W17" s="74"/>
      <c r="X17" s="62"/>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row>
    <row r="18" spans="1:102" s="49" customFormat="1" ht="86.25" customHeight="1" x14ac:dyDescent="0.2">
      <c r="A18" s="45"/>
      <c r="B18" s="45"/>
      <c r="C18" s="61"/>
      <c r="D18" s="73"/>
      <c r="E18" s="87" t="str">
        <f>LEFT('W2'!D14,LEN('W2'!D14)-8)&amp;"W2,6)"</f>
        <v>Industria del suministro de agua (W2,6)</v>
      </c>
      <c r="F18" s="87" t="str">
        <f>LEFT('W2'!D15,LEN('W2'!D15))&amp;"(W2,7)"</f>
        <v>Hogares(W2,7)</v>
      </c>
      <c r="G18" s="87" t="str">
        <f>LEFT('W2'!D16,LEN('W2'!D16))&amp;" (W2,8)"</f>
        <v>Agricultura, ganadería, silvicultura y pesca (CIIU 01-03) (W2,8)</v>
      </c>
      <c r="H18" s="87" t="str">
        <f>LEFT('W2'!D18,LEN('W2'!D18))&amp;" (W2, 10)"</f>
        <v>Explotación de minas y canteras (CIIU 05-09) (W2, 10)</v>
      </c>
      <c r="I18" s="87" t="str">
        <f>LEFT('W2'!D19,LEN('W2'!D19))&amp;" (W2,11)"</f>
        <v>Industrias manufactureras (CIIU 10-33) (W2,11)</v>
      </c>
      <c r="J18" s="87" t="str">
        <f>LEFT('W2'!D20,LEN('W2'!D20))&amp;" (W2,12)"</f>
        <v>Suministro de electricidad, gas, vapor y aire acondicionado (CIIU 35) (W2,12)</v>
      </c>
      <c r="K18" s="87" t="str">
        <f>LEFT('W2'!D22,LEN('W2'!D22))&amp;" (W2,14)"</f>
        <v>Construcción (CIIU 41-43) (W2,14)</v>
      </c>
      <c r="L18" s="87" t="str">
        <f>LEFT('W2'!D23,LEN('W2'!D23))&amp;" (W2,15)"</f>
        <v>Otras actividades económicas (W2,15)</v>
      </c>
      <c r="M18" s="50"/>
      <c r="N18" s="50"/>
      <c r="O18" s="50"/>
      <c r="P18" s="50"/>
      <c r="Q18" s="50"/>
      <c r="R18" s="37"/>
      <c r="S18" s="50"/>
      <c r="T18" s="83"/>
      <c r="U18" s="83"/>
      <c r="V18" s="83"/>
      <c r="W18" s="74"/>
      <c r="X18" s="62"/>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row>
    <row r="19" spans="1:102" s="48" customFormat="1" ht="13.5" customHeight="1" x14ac:dyDescent="0.2">
      <c r="A19" s="45"/>
      <c r="B19" s="45"/>
      <c r="C19" s="61"/>
      <c r="D19" s="73"/>
      <c r="E19" s="50"/>
      <c r="F19" s="86"/>
      <c r="G19" s="86"/>
      <c r="H19" s="86"/>
      <c r="I19" s="86"/>
      <c r="J19" s="86"/>
      <c r="K19" s="86"/>
      <c r="L19" s="86"/>
      <c r="M19" s="86"/>
      <c r="N19" s="86"/>
      <c r="O19" s="86"/>
      <c r="P19" s="86"/>
      <c r="Q19" s="86"/>
      <c r="R19" s="86"/>
      <c r="S19" s="86"/>
      <c r="T19" s="83"/>
      <c r="U19" s="83"/>
      <c r="V19" s="83"/>
      <c r="W19" s="74"/>
      <c r="X19" s="62"/>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row>
    <row r="20" spans="1:102" ht="45" customHeight="1" x14ac:dyDescent="0.2">
      <c r="A20" s="45"/>
      <c r="B20" s="45"/>
      <c r="C20" s="61"/>
      <c r="D20" s="73"/>
      <c r="E20" s="753" t="str">
        <f>LEFT('W2'!D10,LEN('W2'!D10)-7)&amp;" (W2,3)"</f>
        <v>Extracción bruta de agua dulce (W2,3)</v>
      </c>
      <c r="F20" s="754"/>
      <c r="G20" s="754"/>
      <c r="H20" s="754"/>
      <c r="I20" s="754"/>
      <c r="J20" s="754"/>
      <c r="K20" s="754"/>
      <c r="L20" s="766"/>
      <c r="M20" s="83"/>
      <c r="N20" s="83"/>
      <c r="O20" s="83"/>
      <c r="P20" s="37"/>
      <c r="Q20" s="83"/>
      <c r="R20" s="83"/>
      <c r="S20" s="83"/>
      <c r="T20" s="83"/>
      <c r="U20" s="83"/>
      <c r="V20" s="37"/>
      <c r="W20" s="75"/>
      <c r="X20" s="62"/>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row>
    <row r="21" spans="1:102" ht="13.5" customHeight="1" x14ac:dyDescent="0.2">
      <c r="A21" s="45"/>
      <c r="B21" s="45"/>
      <c r="C21" s="61"/>
      <c r="D21" s="73"/>
      <c r="E21" s="37"/>
      <c r="F21" s="37"/>
      <c r="G21" s="655"/>
      <c r="H21" s="655"/>
      <c r="I21" s="655"/>
      <c r="J21" s="655"/>
      <c r="K21" s="37"/>
      <c r="L21" s="37"/>
      <c r="M21" s="83"/>
      <c r="N21" s="83"/>
      <c r="O21" s="83"/>
      <c r="P21" s="37"/>
      <c r="Q21" s="83"/>
      <c r="R21" s="83"/>
      <c r="S21" s="83"/>
      <c r="T21" s="83"/>
      <c r="U21" s="83"/>
      <c r="V21" s="109"/>
      <c r="W21" s="75"/>
      <c r="X21" s="62"/>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row>
    <row r="22" spans="1:102" ht="45" customHeight="1" x14ac:dyDescent="0.2">
      <c r="A22" s="45"/>
      <c r="B22" s="45"/>
      <c r="C22" s="61"/>
      <c r="D22" s="73"/>
      <c r="E22" s="37"/>
      <c r="F22" s="37"/>
      <c r="G22" s="690"/>
      <c r="H22" s="690"/>
      <c r="I22" s="691"/>
      <c r="J22" s="691"/>
      <c r="K22" s="746" t="str">
        <f>LEFT('W2'!D14,LEN('W2'!D14)-7)&amp;" (W2,5)"</f>
        <v>Industria del suministro de agua (C (W2,5)</v>
      </c>
      <c r="L22" s="747"/>
      <c r="N22" s="83"/>
      <c r="O22" s="83"/>
      <c r="P22" s="37"/>
      <c r="Q22" s="83"/>
      <c r="R22" s="83"/>
      <c r="S22" s="83"/>
      <c r="T22" s="83"/>
      <c r="U22" s="83"/>
      <c r="V22" s="87" t="str">
        <f>'W2'!D32&amp;" (W2,23)"</f>
        <v>Hogares (W2,23)</v>
      </c>
      <c r="W22" s="75"/>
      <c r="X22" s="62"/>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row>
    <row r="23" spans="1:102" ht="9.75" customHeight="1" x14ac:dyDescent="0.2">
      <c r="A23" s="45"/>
      <c r="B23" s="45"/>
      <c r="C23" s="61"/>
      <c r="D23" s="73"/>
      <c r="E23" s="50"/>
      <c r="F23" s="83"/>
      <c r="G23" s="692"/>
      <c r="H23" s="692"/>
      <c r="I23" s="693"/>
      <c r="J23" s="693"/>
      <c r="K23" s="83"/>
      <c r="L23" s="83"/>
      <c r="M23" s="83"/>
      <c r="N23" s="83"/>
      <c r="O23" s="83"/>
      <c r="P23" s="748" t="str">
        <f>LEFT('W2'!D28,LEN('W2'!D28)-17)&amp;" (W2,20)"</f>
        <v>Total de agua dulce disponible para utilización (W2,20)</v>
      </c>
      <c r="Q23" s="83"/>
      <c r="R23" s="748" t="str">
        <f>LEFT('W2'!D30,LEN('W2'!D30)-9)&amp;" (W2,22)"</f>
        <v>Utilización de agua dulce total (W2,22)</v>
      </c>
      <c r="S23" s="83"/>
      <c r="T23" s="83"/>
      <c r="U23" s="83"/>
      <c r="V23" s="83"/>
      <c r="W23" s="74"/>
      <c r="X23" s="62"/>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row>
    <row r="24" spans="1:102" ht="46.5" customHeight="1" x14ac:dyDescent="0.2">
      <c r="A24" s="45"/>
      <c r="B24" s="45"/>
      <c r="C24" s="61"/>
      <c r="D24" s="73"/>
      <c r="E24" s="50"/>
      <c r="F24" s="83"/>
      <c r="G24" s="692"/>
      <c r="H24" s="753" t="str">
        <f>'W2'!D11&amp;" (W2,4)"</f>
        <v>Agua retornada sin usar (W2,4)</v>
      </c>
      <c r="I24" s="754"/>
      <c r="J24" s="693"/>
      <c r="K24" s="746" t="str">
        <f>'W2'!D24&amp;" (W2,16)"</f>
        <v>Agua desalinizada (W2,16)</v>
      </c>
      <c r="L24" s="747"/>
      <c r="M24" s="83"/>
      <c r="N24" s="37"/>
      <c r="O24" s="83"/>
      <c r="P24" s="750"/>
      <c r="Q24" s="83"/>
      <c r="R24" s="750"/>
      <c r="S24" s="751" t="str">
        <f>'W2'!D31</f>
        <v>de la cual utilizada por:</v>
      </c>
      <c r="T24" s="752"/>
      <c r="U24" s="110"/>
      <c r="V24" s="87" t="str">
        <f>'W2'!D33&amp;" (W2,24)"</f>
        <v>Agricultura, ganadería, silvicultura y pesca (CIIU 01-03) (W2,24)</v>
      </c>
      <c r="W24" s="74"/>
      <c r="X24" s="62"/>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row>
    <row r="25" spans="1:102" ht="8.25" customHeight="1" x14ac:dyDescent="0.2">
      <c r="A25" s="45"/>
      <c r="B25" s="45"/>
      <c r="C25" s="61"/>
      <c r="D25" s="73"/>
      <c r="E25" s="83"/>
      <c r="F25" s="83"/>
      <c r="G25" s="692"/>
      <c r="H25" s="692"/>
      <c r="I25" s="693"/>
      <c r="J25" s="693"/>
      <c r="K25" s="83"/>
      <c r="L25" s="83"/>
      <c r="M25" s="83"/>
      <c r="N25" s="83"/>
      <c r="O25" s="83"/>
      <c r="P25" s="83"/>
      <c r="Q25" s="83"/>
      <c r="R25" s="83"/>
      <c r="S25" s="83"/>
      <c r="T25" s="83"/>
      <c r="U25" s="83"/>
      <c r="V25" s="83"/>
      <c r="W25" s="74"/>
      <c r="X25" s="62"/>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row>
    <row r="26" spans="1:102" ht="41.25" customHeight="1" x14ac:dyDescent="0.2">
      <c r="A26" s="45"/>
      <c r="B26" s="45"/>
      <c r="C26" s="61"/>
      <c r="D26" s="73"/>
      <c r="G26" s="693"/>
      <c r="H26" s="694"/>
      <c r="I26" s="693"/>
      <c r="J26" s="693"/>
      <c r="K26" s="746" t="str">
        <f>'W2'!D25&amp;" (W2,17)"</f>
        <v>Agua reutilizada (W2,17)</v>
      </c>
      <c r="L26" s="747"/>
      <c r="M26" s="83"/>
      <c r="N26" s="83"/>
      <c r="O26" s="83"/>
      <c r="P26" s="37"/>
      <c r="Q26" s="83"/>
      <c r="R26" s="83"/>
      <c r="S26" s="83"/>
      <c r="T26" s="83"/>
      <c r="U26" s="83"/>
      <c r="V26" s="87" t="str">
        <f>'W2'!D36&amp;" (W2,26)"</f>
        <v>Industrias manufactureras (CIIU 10-33) (W2,26)</v>
      </c>
      <c r="W26" s="74"/>
      <c r="X26" s="62"/>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row>
    <row r="27" spans="1:102" ht="8.25" customHeight="1" x14ac:dyDescent="0.2">
      <c r="A27" s="45"/>
      <c r="B27" s="45"/>
      <c r="C27" s="61"/>
      <c r="D27" s="73"/>
      <c r="E27" s="88"/>
      <c r="H27" s="88"/>
      <c r="I27" s="88"/>
      <c r="J27" s="88"/>
      <c r="K27" s="83"/>
      <c r="L27" s="83"/>
      <c r="M27" s="83"/>
      <c r="N27" s="83"/>
      <c r="O27" s="83"/>
      <c r="P27" s="83"/>
      <c r="Q27" s="748" t="str">
        <f>'W2'!D29&amp;" (W2,21)"</f>
        <v>Pérdidas durante el transporte  (W2,21)</v>
      </c>
      <c r="R27" s="83"/>
      <c r="S27" s="83"/>
      <c r="T27" s="83"/>
      <c r="U27" s="83"/>
      <c r="V27" s="83"/>
      <c r="W27" s="74"/>
      <c r="X27" s="62"/>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row>
    <row r="28" spans="1:102" ht="41.25" customHeight="1" x14ac:dyDescent="0.2">
      <c r="A28" s="45"/>
      <c r="B28" s="45"/>
      <c r="C28" s="61"/>
      <c r="D28" s="73"/>
      <c r="E28" s="88"/>
      <c r="H28" s="88"/>
      <c r="I28" s="88"/>
      <c r="J28" s="88"/>
      <c r="K28" s="746" t="str">
        <f>'W2'!D26&amp;" - "&amp;'W2'!D27&amp;" (= W2,18 - W2,19)"</f>
        <v>Importaciones de agua - Exportaciones de agua (= W2,18 - W2,19)</v>
      </c>
      <c r="L28" s="747"/>
      <c r="M28" s="83"/>
      <c r="N28" s="83"/>
      <c r="O28" s="83"/>
      <c r="P28" s="83"/>
      <c r="Q28" s="749"/>
      <c r="R28" s="83"/>
      <c r="S28" s="83"/>
      <c r="T28" s="83"/>
      <c r="U28" s="83"/>
      <c r="V28" s="637" t="str">
        <f>'W2'!D36&amp;" (W2,27)"</f>
        <v>Industrias manufactureras (CIIU 10-33) (W2,27)</v>
      </c>
      <c r="W28" s="74"/>
      <c r="X28" s="62"/>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row>
    <row r="29" spans="1:102" ht="13.5" customHeight="1" x14ac:dyDescent="0.2">
      <c r="A29" s="45"/>
      <c r="B29" s="45"/>
      <c r="C29" s="61"/>
      <c r="D29" s="73"/>
      <c r="E29" s="88"/>
      <c r="H29" s="88"/>
      <c r="I29" s="88"/>
      <c r="J29" s="88"/>
      <c r="K29" s="83"/>
      <c r="L29" s="83"/>
      <c r="M29" s="83"/>
      <c r="N29" s="83"/>
      <c r="O29" s="83"/>
      <c r="P29" s="83"/>
      <c r="Q29" s="749"/>
      <c r="R29" s="83"/>
      <c r="S29" s="83"/>
      <c r="T29" s="83"/>
      <c r="U29" s="83"/>
      <c r="V29" s="83"/>
      <c r="W29" s="74"/>
      <c r="X29" s="62"/>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row>
    <row r="30" spans="1:102" ht="44.25" customHeight="1" x14ac:dyDescent="0.2">
      <c r="A30" s="45"/>
      <c r="B30" s="45"/>
      <c r="C30" s="61"/>
      <c r="D30" s="73"/>
      <c r="E30" s="83"/>
      <c r="F30" s="83"/>
      <c r="G30" s="83"/>
      <c r="H30" s="83"/>
      <c r="I30" s="83"/>
      <c r="J30" s="83"/>
      <c r="K30" s="83"/>
      <c r="L30" s="83"/>
      <c r="M30" s="83"/>
      <c r="N30" s="83"/>
      <c r="O30" s="83"/>
      <c r="P30" s="37"/>
      <c r="Q30" s="750"/>
      <c r="S30" s="37"/>
      <c r="T30" s="83"/>
      <c r="U30" s="83"/>
      <c r="V30" s="87" t="str">
        <f>'W2'!D37&amp;" (W2,28)"</f>
        <v>Suministro de electricidad, gas, vapor y aire acondicionado (CIIU 35) (W2,28)</v>
      </c>
      <c r="W30" s="74"/>
      <c r="X30" s="62"/>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row>
    <row r="31" spans="1:102" ht="17.100000000000001" customHeight="1" x14ac:dyDescent="0.2">
      <c r="A31" s="45"/>
      <c r="B31" s="45"/>
      <c r="C31" s="61"/>
      <c r="D31" s="73"/>
      <c r="E31" s="83"/>
      <c r="F31" s="83"/>
      <c r="G31" s="83"/>
      <c r="H31" s="83"/>
      <c r="I31" s="83"/>
      <c r="J31" s="83"/>
      <c r="K31" s="83"/>
      <c r="L31" s="83"/>
      <c r="M31" s="83"/>
      <c r="N31" s="83"/>
      <c r="O31" s="83"/>
      <c r="P31" s="37"/>
      <c r="Q31" s="37"/>
      <c r="S31" s="37"/>
      <c r="T31" s="83"/>
      <c r="U31" s="83"/>
      <c r="V31" s="37"/>
      <c r="W31" s="74"/>
      <c r="X31" s="62"/>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row>
    <row r="32" spans="1:102" ht="44.25" customHeight="1" x14ac:dyDescent="0.2">
      <c r="A32" s="45"/>
      <c r="B32" s="45"/>
      <c r="C32" s="61"/>
      <c r="D32" s="73"/>
      <c r="E32" s="83"/>
      <c r="F32" s="83"/>
      <c r="G32" s="83"/>
      <c r="H32" s="83"/>
      <c r="I32" s="83"/>
      <c r="J32" s="83"/>
      <c r="K32" s="83"/>
      <c r="L32" s="83"/>
      <c r="M32" s="83"/>
      <c r="N32" s="83"/>
      <c r="O32" s="83"/>
      <c r="P32" s="37"/>
      <c r="Q32" s="37"/>
      <c r="S32" s="37"/>
      <c r="T32" s="83"/>
      <c r="U32" s="83"/>
      <c r="V32" s="87" t="str">
        <f>'W2'!D39&amp;" (W2,30)"</f>
        <v>Construcción (CIIU 41-43) (W2,30)</v>
      </c>
      <c r="W32" s="74"/>
      <c r="X32" s="62"/>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row>
    <row r="33" spans="1:123" x14ac:dyDescent="0.2">
      <c r="A33" s="45"/>
      <c r="B33" s="45"/>
      <c r="C33" s="61"/>
      <c r="D33" s="73"/>
      <c r="E33" s="83"/>
      <c r="F33" s="83"/>
      <c r="G33" s="83"/>
      <c r="H33" s="83"/>
      <c r="I33" s="83"/>
      <c r="J33" s="83"/>
      <c r="K33" s="83"/>
      <c r="L33" s="83"/>
      <c r="M33" s="83"/>
      <c r="N33" s="83"/>
      <c r="O33" s="83"/>
      <c r="P33" s="83"/>
      <c r="Q33" s="83"/>
      <c r="R33" s="83"/>
      <c r="S33" s="83"/>
      <c r="T33" s="83"/>
      <c r="U33" s="83"/>
      <c r="V33" s="83"/>
      <c r="W33" s="74"/>
      <c r="X33" s="62"/>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row>
    <row r="34" spans="1:123" ht="33" customHeight="1" x14ac:dyDescent="0.2">
      <c r="A34" s="45"/>
      <c r="B34" s="45"/>
      <c r="C34" s="61"/>
      <c r="D34" s="73"/>
      <c r="E34" s="83"/>
      <c r="F34" s="83"/>
      <c r="G34" s="83"/>
      <c r="H34" s="83"/>
      <c r="I34" s="83"/>
      <c r="J34" s="83"/>
      <c r="K34" s="83"/>
      <c r="L34" s="83"/>
      <c r="M34" s="83"/>
      <c r="N34" s="83"/>
      <c r="O34" s="83"/>
      <c r="P34" s="83"/>
      <c r="Q34" s="83"/>
      <c r="R34" s="83"/>
      <c r="S34" s="83"/>
      <c r="T34" s="83"/>
      <c r="U34" s="83"/>
      <c r="V34" s="87" t="str">
        <f>'W2'!D40&amp;" (W2,31)"</f>
        <v>Otras actividades económicas (W2,31)</v>
      </c>
      <c r="W34" s="74"/>
      <c r="X34" s="62"/>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row>
    <row r="35" spans="1:123" ht="9" customHeight="1" x14ac:dyDescent="0.2">
      <c r="A35" s="45"/>
      <c r="B35" s="45"/>
      <c r="C35" s="61"/>
      <c r="D35" s="73"/>
      <c r="E35" s="43"/>
      <c r="F35" s="43"/>
      <c r="G35" s="43"/>
      <c r="H35" s="43"/>
      <c r="I35" s="43"/>
      <c r="J35" s="43"/>
      <c r="K35" s="43"/>
      <c r="L35" s="43"/>
      <c r="M35" s="43"/>
      <c r="N35" s="43"/>
      <c r="O35" s="43"/>
      <c r="P35" s="43"/>
      <c r="Q35" s="43"/>
      <c r="R35" s="43"/>
      <c r="S35" s="43"/>
      <c r="T35" s="43"/>
      <c r="U35" s="43"/>
      <c r="V35" s="43"/>
      <c r="W35" s="74"/>
      <c r="X35" s="62"/>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row>
    <row r="36" spans="1:123" ht="3.6" customHeight="1" x14ac:dyDescent="0.2">
      <c r="A36" s="45"/>
      <c r="B36" s="45"/>
      <c r="C36" s="61"/>
      <c r="D36" s="76"/>
      <c r="E36" s="77"/>
      <c r="F36" s="77"/>
      <c r="G36" s="77"/>
      <c r="H36" s="77"/>
      <c r="I36" s="77"/>
      <c r="J36" s="77"/>
      <c r="K36" s="77"/>
      <c r="L36" s="77"/>
      <c r="M36" s="77"/>
      <c r="N36" s="77"/>
      <c r="O36" s="77"/>
      <c r="P36" s="77"/>
      <c r="Q36" s="77"/>
      <c r="R36" s="77"/>
      <c r="S36" s="77"/>
      <c r="T36" s="77"/>
      <c r="U36" s="77"/>
      <c r="V36" s="77"/>
      <c r="W36" s="78"/>
      <c r="X36" s="62"/>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row>
    <row r="37" spans="1:123" ht="13.5" customHeight="1" thickBot="1" x14ac:dyDescent="0.25">
      <c r="A37" s="45"/>
      <c r="B37" s="45"/>
      <c r="C37" s="63"/>
      <c r="D37" s="67"/>
      <c r="E37" s="64"/>
      <c r="F37" s="64"/>
      <c r="G37" s="64"/>
      <c r="H37" s="64"/>
      <c r="I37" s="64"/>
      <c r="J37" s="64"/>
      <c r="K37" s="64"/>
      <c r="L37" s="64"/>
      <c r="M37" s="64"/>
      <c r="N37" s="64"/>
      <c r="O37" s="64"/>
      <c r="P37" s="64"/>
      <c r="Q37" s="64"/>
      <c r="R37" s="64"/>
      <c r="S37" s="64"/>
      <c r="T37" s="64"/>
      <c r="U37" s="64"/>
      <c r="V37" s="64"/>
      <c r="W37" s="64"/>
      <c r="X37" s="6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row>
    <row r="38" spans="1:123" x14ac:dyDescent="0.2">
      <c r="A38" s="45"/>
      <c r="B38" s="45"/>
      <c r="C38" s="45"/>
      <c r="D38" s="45"/>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row>
    <row r="39" spans="1:123" ht="6" customHeight="1" x14ac:dyDescent="0.2">
      <c r="A39" s="45"/>
      <c r="B39" s="45"/>
      <c r="C39" s="45"/>
      <c r="D39" s="45"/>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row>
    <row r="40" spans="1:123" x14ac:dyDescent="0.2">
      <c r="A40" s="45"/>
      <c r="B40" s="45"/>
      <c r="C40" s="45"/>
      <c r="D40" s="45"/>
      <c r="E40" s="43"/>
      <c r="F40" s="43"/>
      <c r="G40" s="43"/>
      <c r="H40" s="43"/>
      <c r="I40" s="43"/>
      <c r="J40" s="43"/>
      <c r="K40" s="43"/>
      <c r="L40" s="43"/>
      <c r="M40" s="43"/>
      <c r="N40" s="43"/>
      <c r="O40" s="43"/>
      <c r="P40" s="43"/>
      <c r="Q40" s="43"/>
      <c r="R40" s="43"/>
      <c r="S40" s="43"/>
      <c r="T40" s="45"/>
      <c r="U40" s="45"/>
      <c r="V40" s="45"/>
      <c r="W40" s="45"/>
      <c r="X40" s="45"/>
      <c r="Y40" s="43"/>
      <c r="Z40" s="43"/>
      <c r="AA40" s="43"/>
      <c r="AB40" s="43"/>
      <c r="AC40" s="43"/>
      <c r="AD40" s="43"/>
      <c r="AE40" s="43"/>
      <c r="AF40" s="43"/>
      <c r="AG40" s="43"/>
      <c r="AH40" s="43"/>
      <c r="AI40" s="43"/>
      <c r="AJ40" s="43"/>
      <c r="AK40" s="43"/>
      <c r="AL40" s="43"/>
      <c r="AM40" s="43"/>
      <c r="AN40" s="43"/>
      <c r="AO40" s="43"/>
      <c r="AP40" s="43"/>
      <c r="AQ40" s="43"/>
      <c r="AR40" s="43"/>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row>
    <row r="41" spans="1:123" x14ac:dyDescent="0.2">
      <c r="A41" s="45"/>
      <c r="B41" s="45"/>
      <c r="C41" s="45"/>
      <c r="D41" s="45"/>
      <c r="E41" s="43"/>
      <c r="F41" s="43"/>
      <c r="G41" s="43"/>
      <c r="H41" s="43"/>
      <c r="I41" s="43"/>
      <c r="J41" s="43"/>
      <c r="K41" s="43"/>
      <c r="L41" s="43"/>
      <c r="M41" s="43"/>
      <c r="N41" s="43"/>
      <c r="O41" s="43"/>
      <c r="P41" s="43"/>
      <c r="Q41" s="43"/>
      <c r="R41" s="43"/>
      <c r="S41" s="43"/>
      <c r="T41" s="45"/>
      <c r="U41" s="45"/>
      <c r="V41" s="45"/>
      <c r="W41" s="45"/>
      <c r="X41" s="45"/>
      <c r="Y41" s="43"/>
      <c r="Z41" s="43"/>
      <c r="AA41" s="43"/>
      <c r="AB41" s="43"/>
      <c r="AC41" s="43"/>
      <c r="AD41" s="43"/>
      <c r="AE41" s="43"/>
      <c r="AF41" s="43"/>
      <c r="AG41" s="43"/>
      <c r="AH41" s="43"/>
      <c r="AI41" s="43"/>
      <c r="AJ41" s="43"/>
      <c r="AK41" s="43"/>
      <c r="AL41" s="43"/>
      <c r="AM41" s="43"/>
      <c r="AN41" s="43"/>
      <c r="AO41" s="43"/>
      <c r="AP41" s="43"/>
      <c r="AQ41" s="43"/>
      <c r="AR41" s="43"/>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row>
    <row r="42" spans="1:123" x14ac:dyDescent="0.2">
      <c r="A42" s="45"/>
      <c r="B42" s="45"/>
      <c r="C42" s="45"/>
      <c r="D42" s="45"/>
      <c r="E42" s="45"/>
      <c r="F42" s="45"/>
      <c r="G42" s="45"/>
      <c r="H42" s="45"/>
      <c r="I42" s="45"/>
      <c r="J42" s="45"/>
      <c r="K42" s="45"/>
      <c r="L42" s="45"/>
      <c r="M42" s="45"/>
      <c r="N42" s="45"/>
      <c r="O42" s="45"/>
      <c r="P42" s="45"/>
      <c r="Q42" s="45"/>
      <c r="R42" s="45"/>
      <c r="S42" s="45"/>
      <c r="T42" s="45"/>
      <c r="U42" s="45"/>
      <c r="V42" s="45"/>
      <c r="W42" s="45"/>
      <c r="X42" s="45"/>
      <c r="Y42" s="43"/>
      <c r="Z42" s="43"/>
      <c r="AA42" s="43"/>
      <c r="AB42" s="43"/>
      <c r="AC42" s="43"/>
      <c r="AD42" s="43"/>
      <c r="AE42" s="43"/>
      <c r="AF42" s="43"/>
      <c r="AG42" s="43"/>
      <c r="AH42" s="43"/>
      <c r="AI42" s="43"/>
      <c r="AJ42" s="43"/>
      <c r="AK42" s="43"/>
      <c r="AL42" s="43"/>
      <c r="AM42" s="43"/>
      <c r="AN42" s="43"/>
      <c r="AO42" s="43"/>
      <c r="AP42" s="43"/>
      <c r="AQ42" s="43"/>
      <c r="AR42" s="43"/>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row>
    <row r="43" spans="1:123" x14ac:dyDescent="0.2">
      <c r="A43" s="45"/>
      <c r="B43" s="45"/>
      <c r="C43" s="45"/>
      <c r="D43" s="45"/>
      <c r="E43" s="45"/>
      <c r="F43" s="45"/>
      <c r="G43" s="45"/>
      <c r="H43" s="45"/>
      <c r="I43" s="45"/>
      <c r="J43" s="45"/>
      <c r="K43" s="45"/>
      <c r="L43" s="45"/>
      <c r="M43" s="45"/>
      <c r="N43" s="45"/>
      <c r="O43" s="45"/>
      <c r="P43" s="45"/>
      <c r="Q43" s="45"/>
      <c r="R43" s="45"/>
      <c r="S43" s="45"/>
      <c r="T43" s="45"/>
      <c r="U43" s="45"/>
      <c r="V43" s="45"/>
      <c r="W43" s="45"/>
      <c r="X43" s="45"/>
      <c r="Y43" s="43"/>
      <c r="Z43" s="43"/>
      <c r="AA43" s="43"/>
      <c r="AB43" s="43"/>
      <c r="AC43" s="43"/>
      <c r="AD43" s="43"/>
      <c r="AE43" s="43"/>
      <c r="AF43" s="43"/>
      <c r="AG43" s="43"/>
      <c r="AH43" s="43"/>
      <c r="AI43" s="43"/>
      <c r="AJ43" s="43"/>
      <c r="AK43" s="43"/>
      <c r="AL43" s="43"/>
      <c r="AM43" s="43"/>
      <c r="AN43" s="43"/>
      <c r="AO43" s="43"/>
      <c r="AP43" s="43"/>
      <c r="AQ43" s="43"/>
      <c r="AR43" s="43"/>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row>
    <row r="44" spans="1:123" x14ac:dyDescent="0.2">
      <c r="A44" s="45"/>
      <c r="B44" s="45"/>
      <c r="C44" s="45"/>
      <c r="D44" s="45"/>
      <c r="E44" s="45"/>
      <c r="F44" s="45"/>
      <c r="G44" s="45"/>
      <c r="H44" s="45"/>
      <c r="I44" s="45"/>
      <c r="J44" s="45"/>
      <c r="K44" s="45"/>
      <c r="L44" s="45"/>
      <c r="M44" s="45"/>
      <c r="N44" s="45"/>
      <c r="O44" s="45"/>
      <c r="P44" s="45"/>
      <c r="Q44" s="45"/>
      <c r="R44" s="45"/>
      <c r="S44" s="45"/>
      <c r="T44" s="45"/>
      <c r="U44" s="45"/>
      <c r="V44" s="45"/>
      <c r="W44" s="45"/>
      <c r="X44" s="45"/>
      <c r="Y44" s="43"/>
      <c r="Z44" s="43"/>
      <c r="AA44" s="43"/>
      <c r="AB44" s="43"/>
      <c r="AC44" s="43"/>
      <c r="AD44" s="43"/>
      <c r="AE44" s="43"/>
      <c r="AF44" s="43"/>
      <c r="AG44" s="43"/>
      <c r="AH44" s="43"/>
      <c r="AI44" s="43"/>
      <c r="AJ44" s="43"/>
      <c r="AK44" s="43"/>
      <c r="AL44" s="43"/>
      <c r="AM44" s="43"/>
      <c r="AN44" s="43"/>
      <c r="AO44" s="43"/>
      <c r="AP44" s="43"/>
      <c r="AQ44" s="43"/>
      <c r="AR44" s="43"/>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row>
    <row r="45" spans="1:123" ht="13.35" customHeight="1" x14ac:dyDescent="0.2">
      <c r="A45" s="45"/>
      <c r="B45" s="45"/>
      <c r="C45" s="45"/>
      <c r="D45" s="45"/>
      <c r="E45" s="45"/>
      <c r="F45" s="45"/>
      <c r="G45" s="45"/>
      <c r="H45" s="45"/>
      <c r="I45" s="45"/>
      <c r="J45" s="45"/>
      <c r="K45" s="45"/>
      <c r="L45" s="45"/>
      <c r="M45" s="45"/>
      <c r="N45" s="45"/>
      <c r="O45" s="45"/>
      <c r="P45" s="45"/>
      <c r="Q45" s="45"/>
      <c r="R45" s="45"/>
      <c r="S45" s="45"/>
      <c r="T45" s="45"/>
      <c r="U45" s="45"/>
      <c r="V45" s="45"/>
      <c r="W45" s="45"/>
      <c r="X45" s="45"/>
      <c r="Y45" s="43"/>
      <c r="Z45" s="43"/>
      <c r="AA45" s="43"/>
      <c r="AB45" s="43"/>
      <c r="AC45" s="43"/>
      <c r="AD45" s="43"/>
      <c r="AE45" s="43"/>
      <c r="AF45" s="43"/>
      <c r="AG45" s="43"/>
      <c r="AH45" s="43"/>
      <c r="AI45" s="43"/>
      <c r="AJ45" s="43"/>
      <c r="AK45" s="43"/>
      <c r="AL45" s="43"/>
      <c r="AM45" s="43"/>
      <c r="AN45" s="43"/>
      <c r="AO45" s="43"/>
      <c r="AP45" s="43"/>
      <c r="AQ45" s="43"/>
      <c r="AR45" s="43"/>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row>
    <row r="46" spans="1:123" x14ac:dyDescent="0.2">
      <c r="A46" s="45"/>
      <c r="B46" s="45"/>
      <c r="C46" s="45"/>
      <c r="D46" s="45"/>
      <c r="E46" s="45"/>
      <c r="F46" s="45"/>
      <c r="G46" s="45"/>
      <c r="H46" s="45"/>
      <c r="I46" s="45"/>
      <c r="J46" s="45"/>
      <c r="K46" s="45"/>
      <c r="L46" s="45"/>
      <c r="M46" s="45"/>
      <c r="N46" s="45"/>
      <c r="O46" s="45"/>
      <c r="P46" s="45"/>
      <c r="Q46" s="45"/>
      <c r="R46" s="45"/>
      <c r="S46" s="45"/>
      <c r="T46" s="45"/>
      <c r="U46" s="45"/>
      <c r="V46" s="45"/>
      <c r="W46" s="45"/>
      <c r="X46" s="45"/>
      <c r="Y46" s="43"/>
      <c r="Z46" s="43"/>
      <c r="AA46" s="43"/>
      <c r="AB46" s="43"/>
      <c r="AC46" s="43"/>
      <c r="AD46" s="43"/>
      <c r="AE46" s="43"/>
      <c r="AF46" s="43"/>
      <c r="AG46" s="43"/>
      <c r="AH46" s="43"/>
      <c r="AI46" s="43"/>
      <c r="AJ46" s="43"/>
      <c r="AK46" s="43"/>
      <c r="AL46" s="43"/>
      <c r="AM46" s="43"/>
      <c r="AN46" s="43"/>
      <c r="AO46" s="43"/>
      <c r="AP46" s="43"/>
      <c r="AQ46" s="43"/>
      <c r="AR46" s="43"/>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row>
    <row r="47" spans="1:123" ht="13.35" customHeight="1" x14ac:dyDescent="0.2">
      <c r="A47" s="45"/>
      <c r="B47" s="45"/>
      <c r="C47" s="45"/>
      <c r="D47" s="45"/>
      <c r="E47" s="45"/>
      <c r="F47" s="45"/>
      <c r="G47" s="45"/>
      <c r="H47" s="45"/>
      <c r="I47" s="45"/>
      <c r="J47" s="45"/>
      <c r="K47" s="45"/>
      <c r="L47" s="45"/>
      <c r="M47" s="45"/>
      <c r="N47" s="45"/>
      <c r="O47" s="45"/>
      <c r="P47" s="45"/>
      <c r="Q47" s="45"/>
      <c r="R47" s="45"/>
      <c r="S47" s="45"/>
      <c r="T47" s="45"/>
      <c r="U47" s="45"/>
      <c r="V47" s="45"/>
      <c r="W47" s="45"/>
      <c r="X47" s="45"/>
      <c r="Y47" s="43"/>
      <c r="Z47" s="43"/>
      <c r="AA47" s="43"/>
      <c r="AB47" s="43"/>
      <c r="AC47" s="43"/>
      <c r="AD47" s="43"/>
      <c r="AE47" s="43"/>
      <c r="AF47" s="43"/>
      <c r="AG47" s="43"/>
      <c r="AH47" s="43"/>
      <c r="AI47" s="43"/>
      <c r="AJ47" s="43"/>
      <c r="AK47" s="43"/>
      <c r="AL47" s="43"/>
      <c r="AM47" s="43"/>
      <c r="AN47" s="43"/>
      <c r="AO47" s="43"/>
      <c r="AP47" s="43"/>
      <c r="AQ47" s="43"/>
      <c r="AR47" s="43"/>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row>
    <row r="48" spans="1:123" x14ac:dyDescent="0.2">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row>
    <row r="49" spans="1:123" x14ac:dyDescent="0.2">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row>
    <row r="50" spans="1:123" x14ac:dyDescent="0.2">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row>
    <row r="51" spans="1:123" x14ac:dyDescent="0.2">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row>
    <row r="52" spans="1:123" x14ac:dyDescent="0.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row>
    <row r="53" spans="1:123" ht="41.1" customHeight="1"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row>
    <row r="54" spans="1:123"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row>
    <row r="55" spans="1:123" x14ac:dyDescent="0.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row>
    <row r="56" spans="1:123" ht="13.35" customHeight="1"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row>
    <row r="57" spans="1:123" x14ac:dyDescent="0.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row>
    <row r="58" spans="1:123"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row>
    <row r="59" spans="1:123"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row>
    <row r="60" spans="1:123" ht="13.35" customHeight="1"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row>
    <row r="61" spans="1:123"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row>
    <row r="62" spans="1:123" x14ac:dyDescent="0.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row>
    <row r="63" spans="1:123"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row>
    <row r="64" spans="1:123"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row>
    <row r="65" spans="1:123"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row>
    <row r="66" spans="1:123"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sheetData>
  <mergeCells count="18">
    <mergeCell ref="R11:R12"/>
    <mergeCell ref="S11:T12"/>
    <mergeCell ref="E2:X2"/>
    <mergeCell ref="G11:H11"/>
    <mergeCell ref="E4:X4"/>
    <mergeCell ref="S24:T24"/>
    <mergeCell ref="P23:P24"/>
    <mergeCell ref="R23:R24"/>
    <mergeCell ref="H24:I24"/>
    <mergeCell ref="K28:L28"/>
    <mergeCell ref="L12:N12"/>
    <mergeCell ref="L14:N14"/>
    <mergeCell ref="K24:L24"/>
    <mergeCell ref="K26:L26"/>
    <mergeCell ref="Q27:Q30"/>
    <mergeCell ref="K22:L22"/>
    <mergeCell ref="E16:L16"/>
    <mergeCell ref="E20:L20"/>
  </mergeCells>
  <phoneticPr fontId="10" type="noConversion"/>
  <printOptions horizontalCentered="1"/>
  <pageMargins left="0.5" right="0.5" top="0.75" bottom="0.75" header="0.5" footer="0.5"/>
  <pageSetup paperSize="9" scale="47" firstPageNumber="14" orientation="landscape"/>
  <headerFooter alignWithMargins="0">
    <oddFooter>&amp;C&amp;"Arial,Regular"UNSD/Programa de las Naciones Unidas para el Medio Ambiente Cuestionario 2018 Estadisticas Ambientales -  Sección del Agua -  &amp;P</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fitToPage="1"/>
  </sheetPr>
  <dimension ref="A1:DI211"/>
  <sheetViews>
    <sheetView showGridLines="0" tabSelected="1" topLeftCell="C1" zoomScale="85" zoomScaleNormal="85" zoomScaleSheetLayoutView="40" zoomScalePageLayoutView="40" workbookViewId="0">
      <selection activeCell="F8" sqref="F8"/>
    </sheetView>
  </sheetViews>
  <sheetFormatPr defaultColWidth="9.33203125" defaultRowHeight="12.75" x14ac:dyDescent="0.2"/>
  <cols>
    <col min="1" max="1" width="5.6640625" style="191" hidden="1" customWidth="1"/>
    <col min="2" max="2" width="15.6640625" style="192" hidden="1" customWidth="1"/>
    <col min="3" max="3" width="11" style="204" customWidth="1"/>
    <col min="4" max="4" width="35.33203125" style="229" customWidth="1"/>
    <col min="5" max="5" width="10.1640625" style="286" customWidth="1"/>
    <col min="6" max="6" width="11.6640625" style="204" customWidth="1"/>
    <col min="7" max="7" width="1.83203125" style="232" customWidth="1"/>
    <col min="8" max="8" width="7" style="233" customWidth="1"/>
    <col min="9" max="9" width="1.83203125" style="234" customWidth="1"/>
    <col min="10" max="10" width="7" style="233" customWidth="1"/>
    <col min="11" max="11" width="1.83203125" style="234" customWidth="1"/>
    <col min="12" max="12" width="7.1640625" style="234" customWidth="1"/>
    <col min="13" max="13" width="1.83203125" style="234" customWidth="1"/>
    <col min="14" max="14" width="7.1640625" style="234" customWidth="1"/>
    <col min="15" max="15" width="1.83203125" style="234" customWidth="1"/>
    <col min="16" max="16" width="7.1640625" style="234" customWidth="1"/>
    <col min="17" max="17" width="1.83203125" style="234" customWidth="1"/>
    <col min="18" max="18" width="7" style="233" customWidth="1"/>
    <col min="19" max="19" width="1.83203125" style="234" customWidth="1"/>
    <col min="20" max="20" width="7" style="233" customWidth="1"/>
    <col min="21" max="21" width="1.83203125" style="234" customWidth="1"/>
    <col min="22" max="22" width="7" style="233" customWidth="1"/>
    <col min="23" max="23" width="1.83203125" style="232" customWidth="1"/>
    <col min="24" max="24" width="7" style="233" customWidth="1"/>
    <col min="25" max="25" width="1.83203125" style="232" customWidth="1"/>
    <col min="26" max="26" width="7" style="233" customWidth="1"/>
    <col min="27" max="27" width="1.83203125" style="232" customWidth="1"/>
    <col min="28" max="28" width="7" style="233" customWidth="1"/>
    <col min="29" max="29" width="1.83203125" style="232" customWidth="1"/>
    <col min="30" max="30" width="7" style="233" customWidth="1"/>
    <col min="31" max="31" width="1.83203125" style="232" customWidth="1"/>
    <col min="32" max="32" width="7" style="233" customWidth="1"/>
    <col min="33" max="33" width="1.83203125" style="232" customWidth="1"/>
    <col min="34" max="34" width="7" style="233" customWidth="1"/>
    <col min="35" max="35" width="1.83203125" style="234" customWidth="1"/>
    <col min="36" max="36" width="7" style="233" customWidth="1"/>
    <col min="37" max="37" width="1.83203125" style="232" customWidth="1"/>
    <col min="38" max="38" width="7" style="233" customWidth="1"/>
    <col min="39" max="39" width="1.83203125" style="232" customWidth="1"/>
    <col min="40" max="40" width="7" style="233" customWidth="1"/>
    <col min="41" max="41" width="1.83203125" style="232" customWidth="1"/>
    <col min="42" max="42" width="7" style="232" customWidth="1"/>
    <col min="43" max="43" width="1.83203125" style="232" customWidth="1"/>
    <col min="44" max="44" width="7" style="232" customWidth="1"/>
    <col min="45" max="45" width="1.83203125" style="232" customWidth="1"/>
    <col min="46" max="46" width="7" style="233" customWidth="1"/>
    <col min="47" max="47" width="1.83203125" style="204" customWidth="1"/>
    <col min="48" max="48" width="7" style="204" customWidth="1"/>
    <col min="49" max="49" width="1.83203125" style="204" customWidth="1"/>
    <col min="50" max="50" width="7" style="233" customWidth="1"/>
    <col min="51" max="52" width="1.83203125" style="204" customWidth="1"/>
    <col min="53" max="53" width="6.33203125" style="202" customWidth="1"/>
    <col min="54" max="54" width="6.83203125" style="202" customWidth="1"/>
    <col min="55" max="55" width="34.6640625" style="202" customWidth="1"/>
    <col min="56" max="56" width="9.33203125" style="202" customWidth="1"/>
    <col min="57" max="57" width="11.33203125" style="202" customWidth="1"/>
    <col min="58" max="59" width="5.33203125" style="202" customWidth="1"/>
    <col min="60" max="60" width="1.83203125" style="202" customWidth="1"/>
    <col min="61" max="61" width="5.33203125" style="202" customWidth="1"/>
    <col min="62" max="62" width="1.83203125" style="202" customWidth="1"/>
    <col min="63" max="63" width="5.33203125" style="202" customWidth="1"/>
    <col min="64" max="64" width="1.83203125" style="202" customWidth="1"/>
    <col min="65" max="65" width="5.33203125" style="202" customWidth="1"/>
    <col min="66" max="66" width="1.83203125" style="202" customWidth="1"/>
    <col min="67" max="67" width="5.33203125" style="202" customWidth="1"/>
    <col min="68" max="68" width="1.83203125" style="202" customWidth="1"/>
    <col min="69" max="69" width="5.33203125" style="202" customWidth="1"/>
    <col min="70" max="70" width="1.83203125" style="202" customWidth="1"/>
    <col min="71" max="71" width="5.33203125" style="202" customWidth="1"/>
    <col min="72" max="72" width="1.83203125" style="202" customWidth="1"/>
    <col min="73" max="73" width="5.33203125" style="202" customWidth="1"/>
    <col min="74" max="74" width="1.83203125" style="202" customWidth="1"/>
    <col min="75" max="75" width="5.33203125" style="202" customWidth="1"/>
    <col min="76" max="76" width="1.83203125" style="202" customWidth="1"/>
    <col min="77" max="77" width="5.33203125" style="202" customWidth="1"/>
    <col min="78" max="78" width="1.83203125" style="202" customWidth="1"/>
    <col min="79" max="79" width="5.33203125" style="202" customWidth="1"/>
    <col min="80" max="80" width="1.83203125" style="202" customWidth="1"/>
    <col min="81" max="81" width="5.33203125" style="202" customWidth="1"/>
    <col min="82" max="82" width="1.83203125" style="202" customWidth="1"/>
    <col min="83" max="83" width="5.33203125" style="202" customWidth="1"/>
    <col min="84" max="84" width="1.83203125" style="202" customWidth="1"/>
    <col min="85" max="85" width="5.33203125" style="202" customWidth="1"/>
    <col min="86" max="86" width="1.83203125" style="202" customWidth="1"/>
    <col min="87" max="87" width="5.33203125" style="202" customWidth="1"/>
    <col min="88" max="88" width="1.83203125" style="202" customWidth="1"/>
    <col min="89" max="89" width="5.33203125" style="202" customWidth="1"/>
    <col min="90" max="90" width="1.83203125" style="202" customWidth="1"/>
    <col min="91" max="91" width="5.33203125" style="202" customWidth="1"/>
    <col min="92" max="92" width="1.83203125" style="202" customWidth="1"/>
    <col min="93" max="93" width="5.33203125" style="202" customWidth="1"/>
    <col min="94" max="94" width="1.83203125" style="202" customWidth="1"/>
    <col min="95" max="95" width="5.33203125" style="202" customWidth="1"/>
    <col min="96" max="96" width="1.83203125" style="202" customWidth="1"/>
    <col min="97" max="97" width="5.6640625" style="202" customWidth="1"/>
    <col min="98" max="98" width="1.83203125" style="202" customWidth="1"/>
    <col min="99" max="99" width="5.33203125" style="202" customWidth="1"/>
    <col min="100" max="100" width="1.83203125" style="202" customWidth="1"/>
    <col min="101" max="101" width="5.6640625" style="202" customWidth="1"/>
    <col min="102" max="102" width="1.83203125" style="202" customWidth="1"/>
    <col min="103" max="103" width="5.6640625" style="202" customWidth="1"/>
    <col min="104" max="104" width="3.33203125" style="204" customWidth="1"/>
    <col min="105" max="105" width="9.33203125" style="202" customWidth="1"/>
    <col min="106" max="106" width="21.6640625" style="597" customWidth="1"/>
    <col min="107" max="110" width="9.33203125" style="202" customWidth="1"/>
    <col min="111" max="16384" width="9.33203125" style="204"/>
  </cols>
  <sheetData>
    <row r="1" spans="1:110" ht="15.75" customHeight="1" x14ac:dyDescent="0.25">
      <c r="B1" s="192">
        <v>0</v>
      </c>
      <c r="C1" s="193" t="s">
        <v>388</v>
      </c>
      <c r="D1" s="194"/>
      <c r="E1" s="195"/>
      <c r="F1" s="196"/>
      <c r="G1" s="197"/>
      <c r="H1" s="198"/>
      <c r="I1" s="199"/>
      <c r="J1" s="198"/>
      <c r="K1" s="199"/>
      <c r="L1" s="199"/>
      <c r="M1" s="199"/>
      <c r="N1" s="199"/>
      <c r="O1" s="199"/>
      <c r="P1" s="199"/>
      <c r="Q1" s="199"/>
      <c r="R1" s="198"/>
      <c r="S1" s="199"/>
      <c r="T1" s="198"/>
      <c r="U1" s="199"/>
      <c r="V1" s="198"/>
      <c r="W1" s="197"/>
      <c r="X1" s="198"/>
      <c r="Y1" s="197"/>
      <c r="Z1" s="198"/>
      <c r="AA1" s="197"/>
      <c r="AB1" s="198"/>
      <c r="AC1" s="197"/>
      <c r="AD1" s="198"/>
      <c r="AE1" s="197"/>
      <c r="AF1" s="198"/>
      <c r="AG1" s="197"/>
      <c r="AH1" s="198"/>
      <c r="AI1" s="199"/>
      <c r="AJ1" s="198"/>
      <c r="AK1" s="197"/>
      <c r="AL1" s="198"/>
      <c r="AM1" s="197"/>
      <c r="AN1" s="198"/>
      <c r="AO1" s="197"/>
      <c r="AP1" s="197"/>
      <c r="AQ1" s="197"/>
      <c r="AR1" s="197"/>
      <c r="AS1" s="197"/>
      <c r="AT1" s="198"/>
      <c r="AU1" s="200"/>
      <c r="AV1" s="201"/>
      <c r="AW1" s="201"/>
      <c r="AX1" s="198"/>
      <c r="AY1" s="200"/>
      <c r="AZ1" s="201"/>
      <c r="BB1" s="203" t="s">
        <v>456</v>
      </c>
    </row>
    <row r="2" spans="1:110" ht="6.75" customHeight="1" x14ac:dyDescent="0.25">
      <c r="C2" s="205"/>
      <c r="D2" s="206"/>
      <c r="E2" s="207"/>
      <c r="F2" s="208"/>
      <c r="G2" s="209"/>
      <c r="H2" s="210"/>
      <c r="I2" s="211"/>
      <c r="J2" s="210"/>
      <c r="K2" s="211"/>
      <c r="L2" s="211"/>
      <c r="M2" s="211"/>
      <c r="N2" s="211"/>
      <c r="O2" s="211"/>
      <c r="P2" s="211"/>
      <c r="Q2" s="211"/>
      <c r="R2" s="210"/>
      <c r="S2" s="211"/>
      <c r="T2" s="210"/>
      <c r="U2" s="211"/>
      <c r="V2" s="210"/>
      <c r="W2" s="209"/>
      <c r="X2" s="210"/>
      <c r="Y2" s="209"/>
      <c r="Z2" s="210"/>
      <c r="AA2" s="209"/>
      <c r="AB2" s="210"/>
      <c r="AC2" s="209"/>
      <c r="AD2" s="210"/>
      <c r="AE2" s="209"/>
      <c r="AF2" s="210"/>
      <c r="AG2" s="209"/>
      <c r="AH2" s="210"/>
      <c r="AI2" s="211"/>
      <c r="AJ2" s="210"/>
      <c r="AK2" s="209"/>
      <c r="AL2" s="210"/>
      <c r="AM2" s="209"/>
      <c r="AN2" s="210"/>
      <c r="AO2" s="209"/>
      <c r="AP2" s="209"/>
      <c r="AQ2" s="209"/>
      <c r="AR2" s="209"/>
      <c r="AS2" s="209"/>
      <c r="AT2" s="210"/>
      <c r="AU2" s="212"/>
      <c r="AV2" s="213"/>
      <c r="AW2" s="213"/>
      <c r="AX2" s="210"/>
      <c r="AY2" s="212"/>
      <c r="AZ2" s="213"/>
    </row>
    <row r="3" spans="1:110" ht="16.5" customHeight="1" x14ac:dyDescent="0.25">
      <c r="B3" s="192">
        <v>222</v>
      </c>
      <c r="C3" s="214" t="s">
        <v>508</v>
      </c>
      <c r="D3" s="547" t="s">
        <v>254</v>
      </c>
      <c r="E3" s="337"/>
      <c r="F3" s="338"/>
      <c r="G3" s="339"/>
      <c r="H3" s="340"/>
      <c r="I3" s="341"/>
      <c r="J3" s="340"/>
      <c r="K3" s="341"/>
      <c r="L3" s="341"/>
      <c r="M3" s="341"/>
      <c r="N3" s="341"/>
      <c r="O3" s="341"/>
      <c r="P3" s="341"/>
      <c r="Q3" s="341"/>
      <c r="R3" s="340"/>
      <c r="S3" s="341"/>
      <c r="T3" s="340"/>
      <c r="U3" s="341"/>
      <c r="V3" s="340"/>
      <c r="W3" s="339"/>
      <c r="X3" s="340"/>
      <c r="Y3" s="339"/>
      <c r="Z3" s="93"/>
      <c r="AA3" s="53"/>
      <c r="AB3" s="93"/>
      <c r="AC3" s="53"/>
      <c r="AD3" s="93"/>
      <c r="AE3" s="214" t="s">
        <v>509</v>
      </c>
      <c r="AF3" s="216"/>
      <c r="AG3" s="215"/>
      <c r="AH3" s="216"/>
      <c r="AI3" s="217"/>
      <c r="AJ3" s="216"/>
      <c r="AK3" s="215"/>
      <c r="AL3" s="340"/>
      <c r="AM3" s="339"/>
      <c r="AN3" s="340"/>
      <c r="AO3" s="339"/>
      <c r="AP3" s="339"/>
      <c r="AQ3" s="339"/>
      <c r="AR3" s="339"/>
      <c r="AS3" s="339"/>
      <c r="AT3" s="340"/>
      <c r="AU3" s="342"/>
      <c r="AV3" s="343"/>
      <c r="AW3" s="343"/>
      <c r="AX3" s="340"/>
      <c r="AY3" s="342"/>
      <c r="AZ3" s="343"/>
      <c r="BB3" s="221" t="s">
        <v>432</v>
      </c>
    </row>
    <row r="4" spans="1:110" ht="2.25" customHeight="1" x14ac:dyDescent="0.2">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4"/>
      <c r="AI4" s="784"/>
      <c r="AJ4" s="784"/>
      <c r="AK4" s="784"/>
      <c r="AL4" s="784"/>
      <c r="AM4" s="784"/>
      <c r="AN4" s="784"/>
      <c r="AO4" s="784"/>
      <c r="AP4" s="784"/>
      <c r="AQ4" s="784"/>
      <c r="AR4" s="784"/>
      <c r="AS4" s="784"/>
      <c r="AT4" s="784"/>
      <c r="AU4" s="784"/>
      <c r="AV4" s="784"/>
      <c r="AW4" s="784"/>
      <c r="AX4" s="784"/>
      <c r="AY4" s="784"/>
      <c r="AZ4" s="784"/>
      <c r="BB4" s="222"/>
    </row>
    <row r="5" spans="1:110" s="228" customFormat="1" ht="17.25" customHeight="1" x14ac:dyDescent="0.25">
      <c r="A5" s="223"/>
      <c r="B5" s="192">
        <v>1</v>
      </c>
      <c r="C5" s="780" t="s">
        <v>166</v>
      </c>
      <c r="D5" s="780"/>
      <c r="E5" s="781"/>
      <c r="F5" s="781"/>
      <c r="G5" s="781"/>
      <c r="H5" s="782"/>
      <c r="I5" s="782"/>
      <c r="J5" s="782"/>
      <c r="K5" s="782"/>
      <c r="L5" s="782"/>
      <c r="M5" s="782"/>
      <c r="N5" s="782"/>
      <c r="O5" s="782"/>
      <c r="P5" s="782"/>
      <c r="Q5" s="782"/>
      <c r="R5" s="782"/>
      <c r="S5" s="782"/>
      <c r="T5" s="782"/>
      <c r="U5" s="782"/>
      <c r="V5" s="782"/>
      <c r="W5" s="781"/>
      <c r="X5" s="782"/>
      <c r="Y5" s="781"/>
      <c r="Z5" s="782"/>
      <c r="AA5" s="781"/>
      <c r="AB5" s="782"/>
      <c r="AC5" s="781"/>
      <c r="AD5" s="782"/>
      <c r="AE5" s="781"/>
      <c r="AF5" s="782"/>
      <c r="AG5" s="781"/>
      <c r="AH5" s="782"/>
      <c r="AI5" s="782"/>
      <c r="AJ5" s="782"/>
      <c r="AK5" s="781"/>
      <c r="AL5" s="782"/>
      <c r="AM5" s="781"/>
      <c r="AN5" s="782"/>
      <c r="AO5" s="781"/>
      <c r="AP5" s="781"/>
      <c r="AQ5" s="781"/>
      <c r="AR5" s="781"/>
      <c r="AS5" s="781"/>
      <c r="AT5" s="782"/>
      <c r="AU5" s="224"/>
      <c r="AV5" s="225"/>
      <c r="AW5" s="225"/>
      <c r="AX5" s="225"/>
      <c r="AY5" s="224"/>
      <c r="AZ5" s="225"/>
      <c r="BA5" s="226"/>
      <c r="BB5" s="227" t="s">
        <v>433</v>
      </c>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4"/>
      <c r="CL5" s="474"/>
      <c r="CM5" s="474"/>
      <c r="CN5" s="474"/>
      <c r="CO5" s="474"/>
      <c r="CP5" s="474"/>
      <c r="CQ5" s="474"/>
      <c r="CR5" s="474"/>
      <c r="CS5" s="474"/>
      <c r="CT5" s="474"/>
      <c r="CU5" s="474"/>
      <c r="CV5" s="474"/>
      <c r="CW5" s="474"/>
      <c r="CX5" s="474"/>
      <c r="CY5" s="474"/>
      <c r="DA5" s="779" t="s">
        <v>363</v>
      </c>
      <c r="DB5" s="779"/>
      <c r="DC5" s="779"/>
      <c r="DD5" s="779"/>
      <c r="DE5" s="779"/>
      <c r="DF5" s="779"/>
    </row>
    <row r="6" spans="1:110" ht="23.25" customHeight="1" x14ac:dyDescent="0.25">
      <c r="E6" s="230"/>
      <c r="F6" s="787" t="s">
        <v>401</v>
      </c>
      <c r="G6" s="788"/>
      <c r="H6" s="788"/>
      <c r="I6" s="788"/>
      <c r="J6" s="788"/>
      <c r="K6" s="788"/>
      <c r="L6" s="788"/>
      <c r="M6" s="788"/>
      <c r="N6" s="788"/>
      <c r="O6" s="788"/>
      <c r="P6" s="788"/>
      <c r="Q6" s="788"/>
      <c r="R6" s="788"/>
      <c r="S6" s="788"/>
      <c r="T6" s="788"/>
      <c r="U6" s="788"/>
      <c r="V6" s="788"/>
      <c r="W6" s="788"/>
      <c r="X6" s="788"/>
      <c r="Y6" s="788"/>
      <c r="Z6" s="788"/>
      <c r="AA6" s="788"/>
      <c r="AB6" s="788"/>
      <c r="AC6" s="788"/>
      <c r="AD6" s="788"/>
      <c r="AE6" s="788"/>
      <c r="AF6" s="788"/>
      <c r="AG6" s="788"/>
      <c r="AH6" s="788"/>
      <c r="AI6" s="788"/>
      <c r="AJ6" s="788"/>
      <c r="AK6" s="235"/>
      <c r="AL6" s="236"/>
      <c r="AM6" s="236"/>
      <c r="AN6" s="236"/>
      <c r="AO6" s="236"/>
      <c r="AP6" s="236"/>
      <c r="AQ6" s="236"/>
      <c r="AR6" s="236"/>
      <c r="AS6" s="236"/>
      <c r="AT6" s="236"/>
      <c r="AU6" s="236"/>
      <c r="AV6" s="236"/>
      <c r="AW6" s="236"/>
      <c r="AX6" s="236"/>
      <c r="AY6" s="236"/>
      <c r="AZ6" s="237"/>
      <c r="BB6" s="238" t="s">
        <v>557</v>
      </c>
      <c r="DA6" s="239" t="s">
        <v>206</v>
      </c>
      <c r="DB6" s="598" t="s">
        <v>207</v>
      </c>
      <c r="DC6" s="240" t="s">
        <v>208</v>
      </c>
      <c r="DD6" s="240" t="s">
        <v>365</v>
      </c>
      <c r="DE6" s="240" t="s">
        <v>209</v>
      </c>
      <c r="DF6" s="240" t="s">
        <v>210</v>
      </c>
    </row>
    <row r="7" spans="1:110" s="246" customFormat="1" ht="46.5" customHeight="1" x14ac:dyDescent="0.2">
      <c r="A7" s="241"/>
      <c r="B7" s="242">
        <v>2</v>
      </c>
      <c r="C7" s="243" t="s">
        <v>510</v>
      </c>
      <c r="D7" s="243" t="s">
        <v>511</v>
      </c>
      <c r="E7" s="244" t="s">
        <v>512</v>
      </c>
      <c r="F7" s="243" t="s">
        <v>134</v>
      </c>
      <c r="G7" s="245"/>
      <c r="H7" s="571">
        <v>1990</v>
      </c>
      <c r="I7" s="572"/>
      <c r="J7" s="571">
        <v>1995</v>
      </c>
      <c r="K7" s="572"/>
      <c r="L7" s="571">
        <v>2000</v>
      </c>
      <c r="M7" s="572"/>
      <c r="N7" s="571">
        <v>2001</v>
      </c>
      <c r="O7" s="573"/>
      <c r="P7" s="571">
        <v>2002</v>
      </c>
      <c r="Q7" s="573"/>
      <c r="R7" s="571">
        <v>2003</v>
      </c>
      <c r="S7" s="573"/>
      <c r="T7" s="571">
        <v>2004</v>
      </c>
      <c r="U7" s="573"/>
      <c r="V7" s="571">
        <v>2005</v>
      </c>
      <c r="W7" s="573"/>
      <c r="X7" s="571">
        <v>2006</v>
      </c>
      <c r="Y7" s="573"/>
      <c r="Z7" s="571">
        <v>2007</v>
      </c>
      <c r="AA7" s="573"/>
      <c r="AB7" s="571">
        <v>2008</v>
      </c>
      <c r="AC7" s="574"/>
      <c r="AD7" s="571">
        <v>2009</v>
      </c>
      <c r="AE7" s="574"/>
      <c r="AF7" s="571">
        <v>2010</v>
      </c>
      <c r="AG7" s="573"/>
      <c r="AH7" s="571">
        <v>2011</v>
      </c>
      <c r="AI7" s="573"/>
      <c r="AJ7" s="571">
        <v>2012</v>
      </c>
      <c r="AK7" s="573"/>
      <c r="AL7" s="571">
        <v>2013</v>
      </c>
      <c r="AM7" s="573"/>
      <c r="AN7" s="571">
        <v>2014</v>
      </c>
      <c r="AO7" s="573"/>
      <c r="AP7" s="571">
        <v>2015</v>
      </c>
      <c r="AQ7" s="573"/>
      <c r="AR7" s="571">
        <v>2016</v>
      </c>
      <c r="AS7" s="573"/>
      <c r="AT7" s="571">
        <v>2017</v>
      </c>
      <c r="AU7" s="573"/>
      <c r="AV7" s="571">
        <v>2018</v>
      </c>
      <c r="AW7" s="573"/>
      <c r="AX7" s="571">
        <v>2019</v>
      </c>
      <c r="AY7" s="573"/>
      <c r="BA7" s="241"/>
      <c r="BB7" s="243" t="s">
        <v>195</v>
      </c>
      <c r="BC7" s="243" t="s">
        <v>196</v>
      </c>
      <c r="BD7" s="243" t="s">
        <v>197</v>
      </c>
      <c r="BE7" s="243" t="s">
        <v>203</v>
      </c>
      <c r="BF7" s="244">
        <v>1990</v>
      </c>
      <c r="BG7" s="244">
        <v>1995</v>
      </c>
      <c r="BH7" s="244"/>
      <c r="BI7" s="244">
        <v>2000</v>
      </c>
      <c r="BJ7" s="244"/>
      <c r="BK7" s="244">
        <v>2001</v>
      </c>
      <c r="BL7" s="244"/>
      <c r="BM7" s="244">
        <v>2002</v>
      </c>
      <c r="BN7" s="244"/>
      <c r="BO7" s="244">
        <v>2003</v>
      </c>
      <c r="BP7" s="244"/>
      <c r="BQ7" s="244">
        <v>2004</v>
      </c>
      <c r="BR7" s="244"/>
      <c r="BS7" s="244">
        <v>2005</v>
      </c>
      <c r="BT7" s="244"/>
      <c r="BU7" s="244">
        <v>2006</v>
      </c>
      <c r="BV7" s="244"/>
      <c r="BW7" s="244">
        <v>2007</v>
      </c>
      <c r="BX7" s="244"/>
      <c r="BY7" s="244">
        <v>2008</v>
      </c>
      <c r="BZ7" s="244"/>
      <c r="CA7" s="244">
        <v>2009</v>
      </c>
      <c r="CB7" s="244"/>
      <c r="CC7" s="244">
        <v>2010</v>
      </c>
      <c r="CD7" s="244"/>
      <c r="CE7" s="244">
        <v>2011</v>
      </c>
      <c r="CF7" s="244"/>
      <c r="CG7" s="244">
        <v>2012</v>
      </c>
      <c r="CH7" s="244"/>
      <c r="CI7" s="244">
        <v>2013</v>
      </c>
      <c r="CJ7" s="244"/>
      <c r="CK7" s="244">
        <v>2014</v>
      </c>
      <c r="CL7" s="244"/>
      <c r="CM7" s="244">
        <v>2015</v>
      </c>
      <c r="CN7" s="244"/>
      <c r="CO7" s="244">
        <v>2016</v>
      </c>
      <c r="CP7" s="244"/>
      <c r="CQ7" s="244">
        <v>2017</v>
      </c>
      <c r="CR7" s="244"/>
      <c r="CS7" s="244">
        <v>2018</v>
      </c>
      <c r="CT7" s="244"/>
      <c r="CU7" s="244">
        <v>2019</v>
      </c>
      <c r="CV7" s="244"/>
      <c r="CW7" s="244"/>
      <c r="CX7" s="244"/>
      <c r="CY7" s="244"/>
      <c r="CZ7" s="228"/>
      <c r="DA7" s="247">
        <v>4</v>
      </c>
      <c r="DB7" s="599" t="s">
        <v>211</v>
      </c>
      <c r="DC7" s="247">
        <v>213500</v>
      </c>
      <c r="DD7" s="247">
        <v>47150</v>
      </c>
      <c r="DE7" s="247">
        <v>10000</v>
      </c>
      <c r="DF7" s="247">
        <v>65330</v>
      </c>
    </row>
    <row r="8" spans="1:110" s="253" customFormat="1" ht="20.25" customHeight="1" x14ac:dyDescent="0.2">
      <c r="A8" s="248"/>
      <c r="B8" s="249">
        <v>6</v>
      </c>
      <c r="C8" s="250">
        <v>1</v>
      </c>
      <c r="D8" s="251" t="s">
        <v>397</v>
      </c>
      <c r="E8" s="252" t="s">
        <v>57</v>
      </c>
      <c r="F8" s="542">
        <v>36192.27734375</v>
      </c>
      <c r="G8" s="563" t="s">
        <v>19</v>
      </c>
      <c r="H8" s="542">
        <v>37539.875</v>
      </c>
      <c r="I8" s="563" t="s">
        <v>19</v>
      </c>
      <c r="J8" s="542">
        <v>40099.90234375</v>
      </c>
      <c r="K8" s="563" t="s">
        <v>19</v>
      </c>
      <c r="L8" s="542">
        <v>35023.46875</v>
      </c>
      <c r="M8" s="563" t="s">
        <v>19</v>
      </c>
      <c r="N8" s="542">
        <v>30927.236328125</v>
      </c>
      <c r="O8" s="563" t="s">
        <v>19</v>
      </c>
      <c r="P8" s="542">
        <v>33734.6640625</v>
      </c>
      <c r="Q8" s="563" t="s">
        <v>19</v>
      </c>
      <c r="R8" s="542">
        <v>35749.43359375</v>
      </c>
      <c r="S8" s="563" t="s">
        <v>19</v>
      </c>
      <c r="T8" s="542">
        <v>33598.43359375</v>
      </c>
      <c r="U8" s="563" t="s">
        <v>19</v>
      </c>
      <c r="V8" s="542">
        <v>43638.42578125</v>
      </c>
      <c r="W8" s="563" t="s">
        <v>19</v>
      </c>
      <c r="X8" s="542">
        <v>40125.05859375</v>
      </c>
      <c r="Y8" s="563" t="s">
        <v>19</v>
      </c>
      <c r="Z8" s="542">
        <v>35914.921875</v>
      </c>
      <c r="AA8" s="563" t="s">
        <v>19</v>
      </c>
      <c r="AB8" s="542">
        <v>39423.765625</v>
      </c>
      <c r="AC8" s="563" t="s">
        <v>19</v>
      </c>
      <c r="AD8" s="542">
        <v>34337.2578125</v>
      </c>
      <c r="AE8" s="563" t="s">
        <v>19</v>
      </c>
      <c r="AF8" s="542">
        <v>46266.98828125</v>
      </c>
      <c r="AG8" s="563" t="s">
        <v>19</v>
      </c>
      <c r="AH8" s="542">
        <v>44503.37890625</v>
      </c>
      <c r="AI8" s="563" t="s">
        <v>19</v>
      </c>
      <c r="AJ8" s="542">
        <v>34146.62890625</v>
      </c>
      <c r="AK8" s="563" t="s">
        <v>19</v>
      </c>
      <c r="AL8" s="542">
        <v>35644.5078125</v>
      </c>
      <c r="AM8" s="563" t="s">
        <v>19</v>
      </c>
      <c r="AN8" s="542">
        <v>34455.13671875</v>
      </c>
      <c r="AO8" s="563" t="s">
        <v>19</v>
      </c>
      <c r="AP8" s="542">
        <v>30384.765625</v>
      </c>
      <c r="AQ8" s="563" t="s">
        <v>19</v>
      </c>
      <c r="AR8" s="542">
        <v>29703.486328125</v>
      </c>
      <c r="AS8" s="563" t="s">
        <v>19</v>
      </c>
      <c r="AT8" s="542">
        <v>36312.6484375</v>
      </c>
      <c r="AU8" s="563" t="s">
        <v>19</v>
      </c>
      <c r="AV8" s="542">
        <v>35826.0861</v>
      </c>
      <c r="AW8" s="563" t="s">
        <v>19</v>
      </c>
      <c r="AX8" s="542">
        <v>36541.975100000003</v>
      </c>
      <c r="AY8" s="563" t="s">
        <v>19</v>
      </c>
      <c r="BA8" s="254"/>
      <c r="BB8" s="98">
        <v>1</v>
      </c>
      <c r="BC8" s="255" t="s">
        <v>452</v>
      </c>
      <c r="BD8" s="256" t="s">
        <v>453</v>
      </c>
      <c r="BE8" s="257" t="str">
        <f>IF(OR(ISERR(AVERAGE(H8:AY8)),ISBLANK(F8)),"N/A",IF(OR(F8&lt;AVERAGE(H8:AY8)*0.75, F8&gt;AVERAGE(H8:AY8)*1.25), "&lt;&gt;Average", "ok"))</f>
        <v>ok</v>
      </c>
      <c r="BF8" s="258" t="s">
        <v>457</v>
      </c>
      <c r="BG8" s="98" t="str">
        <f>IF(OR(ISBLANK(H8),ISBLANK(J8)),"N/A",IF(ABS((J8-H8)/H8)&gt;1,"&gt; 100%","ok"))</f>
        <v>ok</v>
      </c>
      <c r="BH8" s="258"/>
      <c r="BI8" s="79" t="str">
        <f t="shared" ref="BI8:BI16" si="0">IF(OR(ISBLANK(L8),ISBLANK(J8)),"N/A",IF(ABS((L8-J8)/J8)&gt;0.25,"&gt; 25%","ok"))</f>
        <v>ok</v>
      </c>
      <c r="BJ8" s="258"/>
      <c r="BK8" s="79" t="str">
        <f t="shared" ref="BK8:BK16" si="1">IF(OR(ISBLANK(N8),ISBLANK(L8)),"N/A",IF(ABS((N8-L8)/L8)&gt;0.25,"&gt; 25%","ok"))</f>
        <v>ok</v>
      </c>
      <c r="BL8" s="258"/>
      <c r="BM8" s="79" t="str">
        <f t="shared" ref="BM8:BM16" si="2">IF(OR(ISBLANK(P8),ISBLANK(N8)),"N/A",IF(ABS((P8-N8)/N8)&gt;0.25,"&gt; 25%","ok"))</f>
        <v>ok</v>
      </c>
      <c r="BN8" s="258"/>
      <c r="BO8" s="79" t="str">
        <f t="shared" ref="BO8:BO16" si="3">IF(OR(ISBLANK(R8),ISBLANK(P8)),"N/A",IF(ABS((R8-P8)/P8)&gt;0.25,"&gt; 25%","ok"))</f>
        <v>ok</v>
      </c>
      <c r="BP8" s="258"/>
      <c r="BQ8" s="79" t="str">
        <f t="shared" ref="BQ8:BQ16" si="4">IF(OR(ISBLANK(T8),ISBLANK(R8)),"N/A",IF(ABS((T8-R8)/R8)&gt;0.25,"&gt; 25%","ok"))</f>
        <v>ok</v>
      </c>
      <c r="BR8" s="258"/>
      <c r="BS8" s="79" t="str">
        <f t="shared" ref="BS8:BS16" si="5">IF(OR(ISBLANK(V8),ISBLANK(T8)),"N/A",IF(ABS((V8-T8)/T8)&gt;0.25,"&gt; 25%","ok"))</f>
        <v>&gt; 25%</v>
      </c>
      <c r="BT8" s="258"/>
      <c r="BU8" s="79" t="str">
        <f t="shared" ref="BU8:BU16" si="6">IF(OR(ISBLANK(X8),ISBLANK(V8)),"N/A",IF(ABS((X8-V8)/V8)&gt;0.25,"&gt; 25%","ok"))</f>
        <v>ok</v>
      </c>
      <c r="BV8" s="258"/>
      <c r="BW8" s="79" t="str">
        <f t="shared" ref="BW8:BW16" si="7">IF(OR(ISBLANK(Z8),ISBLANK(X8)),"N/A",IF(ABS((Z8-X8)/X8)&gt;0.25,"&gt; 25%","ok"))</f>
        <v>ok</v>
      </c>
      <c r="BX8" s="258"/>
      <c r="BY8" s="79" t="str">
        <f t="shared" ref="BY8:BY16" si="8">IF(OR(ISBLANK(AB8),ISBLANK(Z8)),"N/A",IF(ABS((AB8-Z8)/Z8)&gt;0.25,"&gt; 25%","ok"))</f>
        <v>ok</v>
      </c>
      <c r="BZ8" s="258"/>
      <c r="CA8" s="79" t="str">
        <f t="shared" ref="CA8:CA16" si="9">IF(OR(ISBLANK(AD8),ISBLANK(AB8)),"N/A",IF(ABS((AD8-AB8)/AB8)&gt;0.25,"&gt; 25%","ok"))</f>
        <v>ok</v>
      </c>
      <c r="CB8" s="258"/>
      <c r="CC8" s="79" t="str">
        <f t="shared" ref="CC8:CC16" si="10">IF(OR(ISBLANK(AF8),ISBLANK(AD8)),"N/A",IF(ABS((AF8-AD8)/AD8)&gt;0.25,"&gt; 25%","ok"))</f>
        <v>&gt; 25%</v>
      </c>
      <c r="CD8" s="258"/>
      <c r="CE8" s="79" t="str">
        <f t="shared" ref="CE8:CE16" si="11">IF(OR(ISBLANK(AH8),ISBLANK(AF8)),"N/A",IF(ABS((AH8-AF8)/AF8)&gt;0.25,"&gt; 25%","ok"))</f>
        <v>ok</v>
      </c>
      <c r="CF8" s="258"/>
      <c r="CG8" s="79" t="str">
        <f t="shared" ref="CG8:CG16" si="12">IF(OR(ISBLANK(AJ8),ISBLANK(AH8)),"N/A",IF(ABS((AJ8-AH8)/AH8)&gt;0.25,"&gt; 25%","ok"))</f>
        <v>ok</v>
      </c>
      <c r="CH8" s="258"/>
      <c r="CI8" s="79" t="str">
        <f t="shared" ref="CI8:CI16" si="13">IF(OR(ISBLANK(AL8),ISBLANK(AJ8)),"N/A",IF(ABS((AL8-AJ8)/AJ8)&gt;0.25,"&gt; 25%","ok"))</f>
        <v>ok</v>
      </c>
      <c r="CJ8" s="258"/>
      <c r="CK8" s="79" t="str">
        <f t="shared" ref="CK8:CK16" si="14">IF(OR(ISBLANK(AN8),ISBLANK(AL8)),"N/A",IF(ABS((AN8-AL8)/AL8)&gt;0.25,"&gt; 25%","ok"))</f>
        <v>ok</v>
      </c>
      <c r="CL8" s="258"/>
      <c r="CM8" s="79" t="str">
        <f t="shared" ref="CM8:CM16" si="15">IF(OR(ISBLANK(AP8),ISBLANK(AN8)),"N/A",IF(ABS((AP8-AN8)/AN8)&gt;0.25,"&gt; 25%","ok"))</f>
        <v>ok</v>
      </c>
      <c r="CN8" s="258"/>
      <c r="CO8" s="79" t="str">
        <f>IF(OR(ISBLANK(AR8),ISBLANK(AP8)),"N/A",IF(ABS((AR8-AP8)/AP8)&gt;0.25,"&gt; 25%","ok"))</f>
        <v>ok</v>
      </c>
      <c r="CP8" s="258"/>
      <c r="CQ8" s="79" t="str">
        <f t="shared" ref="CQ8:CQ16" si="16">IF(OR(ISBLANK(AT8),ISBLANK(AR8)),"N/A",IF(ABS((AT8-AR8)/AR8)&gt;0.25,"&gt; 25%","ok"))</f>
        <v>ok</v>
      </c>
      <c r="CR8" s="258"/>
      <c r="CS8" s="79" t="str">
        <f t="shared" ref="CS8:CS16" si="17">IF(OR(ISBLANK(AV8),ISBLANK(AT8)),"N/A",IF(ABS((AV8-AT8)/AT8)&gt;0.25,"&gt; 25%","ok"))</f>
        <v>ok</v>
      </c>
      <c r="CT8" s="258"/>
      <c r="CU8" s="79" t="str">
        <f t="shared" ref="CU8:CU16" si="18">IF(OR(ISBLANK(AX8),ISBLANK(AV8)),"N/A",IF(ABS((AX8-AV8)/AV8)&gt;0.25,"&gt; 25%","ok"))</f>
        <v>ok</v>
      </c>
      <c r="CV8" s="258"/>
      <c r="CW8" s="79"/>
      <c r="CX8" s="258"/>
      <c r="CY8" s="79"/>
      <c r="DA8" s="247">
        <v>8</v>
      </c>
      <c r="DB8" s="599" t="s">
        <v>212</v>
      </c>
      <c r="DC8" s="247">
        <v>42690</v>
      </c>
      <c r="DD8" s="247">
        <v>26900</v>
      </c>
      <c r="DE8" s="247">
        <v>3300</v>
      </c>
      <c r="DF8" s="247">
        <v>30200</v>
      </c>
    </row>
    <row r="9" spans="1:110" s="253" customFormat="1" ht="20.25" customHeight="1" x14ac:dyDescent="0.2">
      <c r="A9" s="248"/>
      <c r="B9" s="249">
        <v>7</v>
      </c>
      <c r="C9" s="259">
        <v>2</v>
      </c>
      <c r="D9" s="260" t="s">
        <v>70</v>
      </c>
      <c r="E9" s="252" t="s">
        <v>57</v>
      </c>
      <c r="F9" s="543">
        <v>21947.095703125</v>
      </c>
      <c r="G9" s="564" t="s">
        <v>19</v>
      </c>
      <c r="H9" s="543">
        <v>23833.673828125</v>
      </c>
      <c r="I9" s="564" t="s">
        <v>19</v>
      </c>
      <c r="J9" s="543">
        <v>21278.158203125</v>
      </c>
      <c r="K9" s="564" t="s">
        <v>19</v>
      </c>
      <c r="L9" s="543">
        <v>21763.521484375</v>
      </c>
      <c r="M9" s="564" t="s">
        <v>19</v>
      </c>
      <c r="N9" s="543">
        <v>21505.3671875</v>
      </c>
      <c r="O9" s="564" t="s">
        <v>19</v>
      </c>
      <c r="P9" s="543">
        <v>21174.15234375</v>
      </c>
      <c r="Q9" s="564" t="s">
        <v>19</v>
      </c>
      <c r="R9" s="543">
        <v>21981.5546875</v>
      </c>
      <c r="S9" s="564" t="s">
        <v>19</v>
      </c>
      <c r="T9" s="543">
        <v>22248.37890625</v>
      </c>
      <c r="U9" s="564" t="s">
        <v>19</v>
      </c>
      <c r="V9" s="543">
        <v>22131.33984375</v>
      </c>
      <c r="W9" s="564" t="s">
        <v>19</v>
      </c>
      <c r="X9" s="543">
        <v>22947.259765625</v>
      </c>
      <c r="Y9" s="564" t="s">
        <v>19</v>
      </c>
      <c r="Z9" s="543">
        <v>22175.818359375</v>
      </c>
      <c r="AA9" s="564" t="s">
        <v>19</v>
      </c>
      <c r="AB9" s="543">
        <v>21598.435546875</v>
      </c>
      <c r="AC9" s="564" t="s">
        <v>19</v>
      </c>
      <c r="AD9" s="543">
        <v>21759.232421875</v>
      </c>
      <c r="AE9" s="564" t="s">
        <v>19</v>
      </c>
      <c r="AF9" s="543">
        <v>22205.900390625</v>
      </c>
      <c r="AG9" s="564" t="s">
        <v>19</v>
      </c>
      <c r="AH9" s="543">
        <v>22295.2578125</v>
      </c>
      <c r="AI9" s="564" t="s">
        <v>19</v>
      </c>
      <c r="AJ9" s="543">
        <v>22915.50390625</v>
      </c>
      <c r="AK9" s="564" t="s">
        <v>19</v>
      </c>
      <c r="AL9" s="543">
        <v>25034.056640625</v>
      </c>
      <c r="AM9" s="564" t="s">
        <v>19</v>
      </c>
      <c r="AN9" s="543">
        <v>24564.943359375</v>
      </c>
      <c r="AO9" s="564" t="s">
        <v>19</v>
      </c>
      <c r="AP9" s="543">
        <v>22147.017578125</v>
      </c>
      <c r="AQ9" s="564" t="s">
        <v>19</v>
      </c>
      <c r="AR9" s="543">
        <v>23480.318359375</v>
      </c>
      <c r="AS9" s="564" t="s">
        <v>19</v>
      </c>
      <c r="AT9" s="543">
        <v>21426.56640625</v>
      </c>
      <c r="AU9" s="564" t="s">
        <v>19</v>
      </c>
      <c r="AV9" s="543">
        <v>27655.884999999998</v>
      </c>
      <c r="AW9" s="564" t="s">
        <v>19</v>
      </c>
      <c r="AX9" s="543">
        <v>26283.67</v>
      </c>
      <c r="AY9" s="564" t="s">
        <v>19</v>
      </c>
      <c r="BA9" s="254"/>
      <c r="BB9" s="81">
        <v>2</v>
      </c>
      <c r="BC9" s="261" t="s">
        <v>364</v>
      </c>
      <c r="BD9" s="82" t="s">
        <v>453</v>
      </c>
      <c r="BE9" s="81" t="str">
        <f t="shared" ref="BE9:BE16" si="19">IF(OR(ISERR(AVERAGE(H9:AV9)),ISBLANK(F9)),"N/A",IF(OR(F9&lt;AVERAGE(H9:AV9)*0.75, F9&gt;AVERAGE(H9:AV9)*1.25), "&lt;&gt;Average", "ok"))</f>
        <v>ok</v>
      </c>
      <c r="BF9" s="262" t="s">
        <v>457</v>
      </c>
      <c r="BG9" s="98" t="str">
        <f t="shared" ref="BG9:BG16" si="20">IF(OR(ISBLANK(H9),ISBLANK(J9)),"N/A",IF(ABS((J9-H9)/H9)&gt;1,"&gt; 100%","ok"))</f>
        <v>ok</v>
      </c>
      <c r="BH9" s="262"/>
      <c r="BI9" s="79" t="str">
        <f t="shared" si="0"/>
        <v>ok</v>
      </c>
      <c r="BJ9" s="262"/>
      <c r="BK9" s="79" t="str">
        <f t="shared" si="1"/>
        <v>ok</v>
      </c>
      <c r="BL9" s="262"/>
      <c r="BM9" s="79" t="str">
        <f t="shared" si="2"/>
        <v>ok</v>
      </c>
      <c r="BN9" s="262"/>
      <c r="BO9" s="79" t="str">
        <f t="shared" si="3"/>
        <v>ok</v>
      </c>
      <c r="BP9" s="262"/>
      <c r="BQ9" s="79" t="str">
        <f t="shared" si="4"/>
        <v>ok</v>
      </c>
      <c r="BR9" s="262"/>
      <c r="BS9" s="79" t="str">
        <f t="shared" si="5"/>
        <v>ok</v>
      </c>
      <c r="BT9" s="262"/>
      <c r="BU9" s="79" t="str">
        <f t="shared" si="6"/>
        <v>ok</v>
      </c>
      <c r="BV9" s="262"/>
      <c r="BW9" s="79" t="str">
        <f t="shared" si="7"/>
        <v>ok</v>
      </c>
      <c r="BX9" s="262"/>
      <c r="BY9" s="79" t="str">
        <f t="shared" si="8"/>
        <v>ok</v>
      </c>
      <c r="BZ9" s="262"/>
      <c r="CA9" s="79" t="str">
        <f t="shared" si="9"/>
        <v>ok</v>
      </c>
      <c r="CB9" s="262"/>
      <c r="CC9" s="79" t="str">
        <f t="shared" si="10"/>
        <v>ok</v>
      </c>
      <c r="CD9" s="262"/>
      <c r="CE9" s="79" t="str">
        <f t="shared" si="11"/>
        <v>ok</v>
      </c>
      <c r="CF9" s="262"/>
      <c r="CG9" s="79" t="str">
        <f t="shared" si="12"/>
        <v>ok</v>
      </c>
      <c r="CH9" s="262"/>
      <c r="CI9" s="79" t="str">
        <f t="shared" si="13"/>
        <v>ok</v>
      </c>
      <c r="CJ9" s="262"/>
      <c r="CK9" s="79" t="str">
        <f t="shared" si="14"/>
        <v>ok</v>
      </c>
      <c r="CL9" s="262"/>
      <c r="CM9" s="79" t="str">
        <f t="shared" si="15"/>
        <v>ok</v>
      </c>
      <c r="CN9" s="262"/>
      <c r="CO9" s="79" t="str">
        <f>IF(OR(ISBLANK(AR9),ISBLANK(AP9)),"N/A",IF(ABS((AR9-AP9)/AP9)&gt;0.25,"&gt; 25%","ok"))</f>
        <v>ok</v>
      </c>
      <c r="CP9" s="262"/>
      <c r="CQ9" s="79" t="str">
        <f t="shared" si="16"/>
        <v>ok</v>
      </c>
      <c r="CR9" s="262"/>
      <c r="CS9" s="79" t="str">
        <f t="shared" si="17"/>
        <v>&gt; 25%</v>
      </c>
      <c r="CT9" s="262"/>
      <c r="CU9" s="79" t="str">
        <f t="shared" si="18"/>
        <v>ok</v>
      </c>
      <c r="CV9" s="262"/>
      <c r="CW9" s="79"/>
      <c r="CX9" s="262"/>
      <c r="CY9" s="79"/>
      <c r="DA9" s="247">
        <v>12</v>
      </c>
      <c r="DB9" s="599" t="s">
        <v>213</v>
      </c>
      <c r="DC9" s="247">
        <v>212000</v>
      </c>
      <c r="DD9" s="247">
        <v>11250</v>
      </c>
      <c r="DE9" s="247">
        <v>390</v>
      </c>
      <c r="DF9" s="247">
        <v>11670</v>
      </c>
    </row>
    <row r="10" spans="1:110" s="264" customFormat="1" ht="20.25" customHeight="1" x14ac:dyDescent="0.2">
      <c r="A10" s="263" t="s">
        <v>448</v>
      </c>
      <c r="B10" s="249">
        <v>5</v>
      </c>
      <c r="C10" s="250">
        <v>3</v>
      </c>
      <c r="D10" s="260" t="s">
        <v>399</v>
      </c>
      <c r="E10" s="252" t="s">
        <v>57</v>
      </c>
      <c r="F10" s="543">
        <v>14245.18359375</v>
      </c>
      <c r="G10" s="564"/>
      <c r="H10" s="543">
        <v>13706.201171875</v>
      </c>
      <c r="I10" s="564"/>
      <c r="J10" s="543">
        <v>18821.7421875</v>
      </c>
      <c r="K10" s="564"/>
      <c r="L10" s="543">
        <v>13259.947265625</v>
      </c>
      <c r="M10" s="564"/>
      <c r="N10" s="543">
        <v>9421.8681640625</v>
      </c>
      <c r="O10" s="564"/>
      <c r="P10" s="543">
        <v>12560.5126953125</v>
      </c>
      <c r="Q10" s="564"/>
      <c r="R10" s="543">
        <v>13767.87890625</v>
      </c>
      <c r="S10" s="564"/>
      <c r="T10" s="543">
        <v>11350.052734375</v>
      </c>
      <c r="U10" s="564"/>
      <c r="V10" s="543">
        <v>21507.083984375</v>
      </c>
      <c r="W10" s="564"/>
      <c r="X10" s="543">
        <v>17177.798828125</v>
      </c>
      <c r="Y10" s="564"/>
      <c r="Z10" s="543">
        <v>13739.103515625</v>
      </c>
      <c r="AA10" s="564"/>
      <c r="AB10" s="543">
        <v>17825.33203125</v>
      </c>
      <c r="AC10" s="564"/>
      <c r="AD10" s="543">
        <v>12578.0263671875</v>
      </c>
      <c r="AE10" s="564"/>
      <c r="AF10" s="543">
        <v>24061.087890625</v>
      </c>
      <c r="AG10" s="564"/>
      <c r="AH10" s="543">
        <v>22208.123046875</v>
      </c>
      <c r="AI10" s="564"/>
      <c r="AJ10" s="543">
        <v>11231.125</v>
      </c>
      <c r="AK10" s="564"/>
      <c r="AL10" s="543">
        <v>10610.451171875</v>
      </c>
      <c r="AM10" s="564"/>
      <c r="AN10" s="543">
        <v>9890.19140625</v>
      </c>
      <c r="AO10" s="564"/>
      <c r="AP10" s="543">
        <v>8237.748046875</v>
      </c>
      <c r="AQ10" s="564"/>
      <c r="AR10" s="543">
        <v>6223.16796875</v>
      </c>
      <c r="AS10" s="564"/>
      <c r="AT10" s="543">
        <v>14886.0830078125</v>
      </c>
      <c r="AU10" s="564"/>
      <c r="AV10" s="543">
        <f>AV8-AV9</f>
        <v>8170.201100000002</v>
      </c>
      <c r="AW10" s="564"/>
      <c r="AX10" s="543">
        <f>AX8-AX9</f>
        <v>10258.305100000005</v>
      </c>
      <c r="AY10" s="564"/>
      <c r="BA10" s="265"/>
      <c r="BB10" s="98">
        <v>3</v>
      </c>
      <c r="BC10" s="261" t="s">
        <v>410</v>
      </c>
      <c r="BD10" s="81" t="s">
        <v>453</v>
      </c>
      <c r="BE10" s="81" t="str">
        <f t="shared" si="19"/>
        <v>ok</v>
      </c>
      <c r="BF10" s="262" t="s">
        <v>457</v>
      </c>
      <c r="BG10" s="98" t="str">
        <f t="shared" si="20"/>
        <v>ok</v>
      </c>
      <c r="BH10" s="262"/>
      <c r="BI10" s="79" t="str">
        <f t="shared" si="0"/>
        <v>&gt; 25%</v>
      </c>
      <c r="BJ10" s="262"/>
      <c r="BK10" s="79" t="str">
        <f t="shared" si="1"/>
        <v>&gt; 25%</v>
      </c>
      <c r="BL10" s="262"/>
      <c r="BM10" s="79" t="str">
        <f t="shared" si="2"/>
        <v>&gt; 25%</v>
      </c>
      <c r="BN10" s="262"/>
      <c r="BO10" s="79" t="str">
        <f t="shared" si="3"/>
        <v>ok</v>
      </c>
      <c r="BP10" s="262"/>
      <c r="BQ10" s="79" t="str">
        <f t="shared" si="4"/>
        <v>ok</v>
      </c>
      <c r="BR10" s="262"/>
      <c r="BS10" s="79" t="str">
        <f t="shared" si="5"/>
        <v>&gt; 25%</v>
      </c>
      <c r="BT10" s="262"/>
      <c r="BU10" s="79" t="str">
        <f t="shared" si="6"/>
        <v>ok</v>
      </c>
      <c r="BV10" s="262"/>
      <c r="BW10" s="79" t="str">
        <f t="shared" si="7"/>
        <v>ok</v>
      </c>
      <c r="BX10" s="262"/>
      <c r="BY10" s="79" t="str">
        <f t="shared" si="8"/>
        <v>&gt; 25%</v>
      </c>
      <c r="BZ10" s="262"/>
      <c r="CA10" s="79" t="str">
        <f t="shared" si="9"/>
        <v>&gt; 25%</v>
      </c>
      <c r="CB10" s="262"/>
      <c r="CC10" s="79" t="str">
        <f t="shared" si="10"/>
        <v>&gt; 25%</v>
      </c>
      <c r="CD10" s="262"/>
      <c r="CE10" s="79" t="str">
        <f t="shared" si="11"/>
        <v>ok</v>
      </c>
      <c r="CF10" s="262"/>
      <c r="CG10" s="79" t="str">
        <f t="shared" si="12"/>
        <v>&gt; 25%</v>
      </c>
      <c r="CH10" s="262"/>
      <c r="CI10" s="79" t="str">
        <f t="shared" si="13"/>
        <v>ok</v>
      </c>
      <c r="CJ10" s="262"/>
      <c r="CK10" s="79" t="str">
        <f t="shared" si="14"/>
        <v>ok</v>
      </c>
      <c r="CL10" s="262"/>
      <c r="CM10" s="79" t="str">
        <f t="shared" si="15"/>
        <v>ok</v>
      </c>
      <c r="CN10" s="262"/>
      <c r="CO10" s="79" t="str">
        <f>IF(OR(ISBLANK(AR10),ISBLANK(AP10)),"N/A",IF(ABS((AR10-AP10)/AP10)&gt;0.25,"&gt; 25%","ok"))</f>
        <v>ok</v>
      </c>
      <c r="CP10" s="262"/>
      <c r="CQ10" s="79" t="str">
        <f t="shared" si="16"/>
        <v>&gt; 25%</v>
      </c>
      <c r="CR10" s="262"/>
      <c r="CS10" s="79" t="str">
        <f t="shared" si="17"/>
        <v>&gt; 25%</v>
      </c>
      <c r="CT10" s="262"/>
      <c r="CU10" s="79" t="str">
        <f t="shared" si="18"/>
        <v>&gt; 25%</v>
      </c>
      <c r="CV10" s="262"/>
      <c r="CW10" s="79"/>
      <c r="CX10" s="262"/>
      <c r="CY10" s="79"/>
      <c r="DA10" s="247">
        <v>20</v>
      </c>
      <c r="DB10" s="599" t="s">
        <v>92</v>
      </c>
      <c r="DC10" s="247">
        <v>472.4</v>
      </c>
      <c r="DD10" s="247">
        <v>315.59999999999997</v>
      </c>
      <c r="DE10" s="247"/>
      <c r="DF10" s="247">
        <v>315.59999999999997</v>
      </c>
    </row>
    <row r="11" spans="1:110" s="253" customFormat="1" ht="26.25" customHeight="1" x14ac:dyDescent="0.2">
      <c r="A11" s="248"/>
      <c r="B11" s="249">
        <v>8</v>
      </c>
      <c r="C11" s="259">
        <v>4</v>
      </c>
      <c r="D11" s="266" t="s">
        <v>127</v>
      </c>
      <c r="E11" s="252" t="s">
        <v>57</v>
      </c>
      <c r="F11" s="543">
        <v>6899.8916015625</v>
      </c>
      <c r="G11" s="564" t="s">
        <v>694</v>
      </c>
      <c r="H11" s="543">
        <v>8429.611328125</v>
      </c>
      <c r="I11" s="564" t="s">
        <v>694</v>
      </c>
      <c r="J11" s="543">
        <v>7980.90234375</v>
      </c>
      <c r="K11" s="564" t="s">
        <v>694</v>
      </c>
      <c r="L11" s="543">
        <v>6972.4404296875</v>
      </c>
      <c r="M11" s="564" t="s">
        <v>694</v>
      </c>
      <c r="N11" s="543">
        <v>5016.9970703125</v>
      </c>
      <c r="O11" s="564" t="s">
        <v>694</v>
      </c>
      <c r="P11" s="543">
        <v>5122.0341796875</v>
      </c>
      <c r="Q11" s="564" t="s">
        <v>694</v>
      </c>
      <c r="R11" s="543">
        <v>5868.27099609375</v>
      </c>
      <c r="S11" s="564" t="s">
        <v>694</v>
      </c>
      <c r="T11" s="543">
        <v>5041.162109375</v>
      </c>
      <c r="U11" s="564" t="s">
        <v>694</v>
      </c>
      <c r="V11" s="543">
        <v>8874.9150390625</v>
      </c>
      <c r="W11" s="564" t="s">
        <v>694</v>
      </c>
      <c r="X11" s="543">
        <v>8702.576171875</v>
      </c>
      <c r="Y11" s="564" t="s">
        <v>694</v>
      </c>
      <c r="Z11" s="543">
        <v>7982.13818359375</v>
      </c>
      <c r="AA11" s="564" t="s">
        <v>694</v>
      </c>
      <c r="AB11" s="543">
        <v>9301.1044921875</v>
      </c>
      <c r="AC11" s="564" t="s">
        <v>694</v>
      </c>
      <c r="AD11" s="543">
        <v>5911.15673828125</v>
      </c>
      <c r="AE11" s="564" t="s">
        <v>694</v>
      </c>
      <c r="AF11" s="543">
        <v>10205.1162109375</v>
      </c>
      <c r="AG11" s="564" t="s">
        <v>694</v>
      </c>
      <c r="AH11" s="543">
        <v>9944.3603515625</v>
      </c>
      <c r="AI11" s="564" t="s">
        <v>694</v>
      </c>
      <c r="AJ11" s="543">
        <v>6622.72509765625</v>
      </c>
      <c r="AK11" s="564" t="s">
        <v>694</v>
      </c>
      <c r="AL11" s="543">
        <v>4754.24658203125</v>
      </c>
      <c r="AM11" s="564" t="s">
        <v>694</v>
      </c>
      <c r="AN11" s="543">
        <v>5508.22119140625</v>
      </c>
      <c r="AO11" s="564" t="s">
        <v>694</v>
      </c>
      <c r="AP11" s="543">
        <v>5138.8974609375</v>
      </c>
      <c r="AQ11" s="564" t="s">
        <v>694</v>
      </c>
      <c r="AR11" s="543">
        <v>4400.404296875</v>
      </c>
      <c r="AS11" s="564" t="s">
        <v>694</v>
      </c>
      <c r="AT11" s="543">
        <v>9790.91796875</v>
      </c>
      <c r="AU11" s="564" t="s">
        <v>694</v>
      </c>
      <c r="AV11" s="543">
        <v>6447.9025899999997</v>
      </c>
      <c r="AW11" s="564" t="s">
        <v>694</v>
      </c>
      <c r="AX11" s="543">
        <v>6128.7089999999998</v>
      </c>
      <c r="AY11" s="564" t="s">
        <v>694</v>
      </c>
      <c r="BA11" s="254"/>
      <c r="BB11" s="81">
        <v>4</v>
      </c>
      <c r="BC11" s="261" t="s">
        <v>143</v>
      </c>
      <c r="BD11" s="82" t="s">
        <v>453</v>
      </c>
      <c r="BE11" s="81" t="str">
        <f t="shared" si="19"/>
        <v>ok</v>
      </c>
      <c r="BF11" s="262" t="s">
        <v>457</v>
      </c>
      <c r="BG11" s="98" t="str">
        <f>IF(OR(ISBLANK(H11),ISBLANK(J11)),"N/A",IF(ABS((J11-H11)/H11)&gt;1,"&gt; 100%","ok"))</f>
        <v>ok</v>
      </c>
      <c r="BH11" s="262"/>
      <c r="BI11" s="79" t="str">
        <f t="shared" si="0"/>
        <v>ok</v>
      </c>
      <c r="BJ11" s="262"/>
      <c r="BK11" s="79" t="str">
        <f t="shared" si="1"/>
        <v>&gt; 25%</v>
      </c>
      <c r="BL11" s="262"/>
      <c r="BM11" s="79" t="str">
        <f t="shared" si="2"/>
        <v>ok</v>
      </c>
      <c r="BN11" s="262"/>
      <c r="BO11" s="79" t="str">
        <f t="shared" si="3"/>
        <v>ok</v>
      </c>
      <c r="BP11" s="262"/>
      <c r="BQ11" s="79" t="str">
        <f t="shared" si="4"/>
        <v>ok</v>
      </c>
      <c r="BR11" s="262"/>
      <c r="BS11" s="79" t="str">
        <f t="shared" si="5"/>
        <v>&gt; 25%</v>
      </c>
      <c r="BT11" s="262"/>
      <c r="BU11" s="79" t="str">
        <f t="shared" si="6"/>
        <v>ok</v>
      </c>
      <c r="BV11" s="262"/>
      <c r="BW11" s="79" t="str">
        <f t="shared" si="7"/>
        <v>ok</v>
      </c>
      <c r="BX11" s="262"/>
      <c r="BY11" s="79" t="str">
        <f t="shared" si="8"/>
        <v>ok</v>
      </c>
      <c r="BZ11" s="262"/>
      <c r="CA11" s="79" t="str">
        <f t="shared" si="9"/>
        <v>&gt; 25%</v>
      </c>
      <c r="CB11" s="262"/>
      <c r="CC11" s="79" t="str">
        <f t="shared" si="10"/>
        <v>&gt; 25%</v>
      </c>
      <c r="CD11" s="262"/>
      <c r="CE11" s="79" t="str">
        <f t="shared" si="11"/>
        <v>ok</v>
      </c>
      <c r="CF11" s="262"/>
      <c r="CG11" s="79" t="str">
        <f t="shared" si="12"/>
        <v>&gt; 25%</v>
      </c>
      <c r="CH11" s="262"/>
      <c r="CI11" s="79" t="str">
        <f t="shared" si="13"/>
        <v>&gt; 25%</v>
      </c>
      <c r="CJ11" s="262"/>
      <c r="CK11" s="79" t="str">
        <f t="shared" si="14"/>
        <v>ok</v>
      </c>
      <c r="CL11" s="262"/>
      <c r="CM11" s="79" t="str">
        <f t="shared" si="15"/>
        <v>ok</v>
      </c>
      <c r="CN11" s="262"/>
      <c r="CO11" s="79" t="str">
        <f t="shared" ref="CO11:CO16" si="21">IF(OR(ISBLANK(AR11),ISBLANK(AP11)),"N/A",IF(ABS((AR11-AP11)/AP11)&gt;0.25,"&gt; 25%","ok"))</f>
        <v>ok</v>
      </c>
      <c r="CP11" s="262"/>
      <c r="CQ11" s="79" t="str">
        <f t="shared" si="16"/>
        <v>&gt; 25%</v>
      </c>
      <c r="CR11" s="262"/>
      <c r="CS11" s="79" t="str">
        <f t="shared" si="17"/>
        <v>&gt; 25%</v>
      </c>
      <c r="CT11" s="262"/>
      <c r="CU11" s="79" t="str">
        <f t="shared" si="18"/>
        <v>ok</v>
      </c>
      <c r="CV11" s="262"/>
      <c r="CW11" s="79"/>
      <c r="CX11" s="262"/>
      <c r="CY11" s="79"/>
      <c r="DA11" s="247">
        <v>24</v>
      </c>
      <c r="DB11" s="599" t="s">
        <v>214</v>
      </c>
      <c r="DC11" s="247">
        <v>1259000</v>
      </c>
      <c r="DD11" s="247">
        <v>148000</v>
      </c>
      <c r="DE11" s="247">
        <v>400</v>
      </c>
      <c r="DF11" s="247">
        <v>148400</v>
      </c>
    </row>
    <row r="12" spans="1:110" s="269" customFormat="1" ht="26.25" customHeight="1" x14ac:dyDescent="0.2">
      <c r="A12" s="263" t="s">
        <v>448</v>
      </c>
      <c r="B12" s="249">
        <v>124</v>
      </c>
      <c r="C12" s="267">
        <v>5</v>
      </c>
      <c r="D12" s="268" t="s">
        <v>400</v>
      </c>
      <c r="E12" s="252" t="s">
        <v>57</v>
      </c>
      <c r="F12" s="544">
        <v>21145.07421875</v>
      </c>
      <c r="G12" s="565"/>
      <c r="H12" s="544">
        <v>22135.8125</v>
      </c>
      <c r="I12" s="565"/>
      <c r="J12" s="544">
        <v>26802.64453125</v>
      </c>
      <c r="K12" s="565"/>
      <c r="L12" s="544">
        <v>20232.388671875</v>
      </c>
      <c r="M12" s="565"/>
      <c r="N12" s="544">
        <v>14438.865234375</v>
      </c>
      <c r="O12" s="565"/>
      <c r="P12" s="544">
        <v>17682.546875</v>
      </c>
      <c r="Q12" s="565"/>
      <c r="R12" s="544">
        <v>19636.150390625</v>
      </c>
      <c r="S12" s="565"/>
      <c r="T12" s="544">
        <v>16391.21484375</v>
      </c>
      <c r="U12" s="565"/>
      <c r="V12" s="544">
        <v>30382</v>
      </c>
      <c r="W12" s="565"/>
      <c r="X12" s="544">
        <v>25880.376953125</v>
      </c>
      <c r="Y12" s="565"/>
      <c r="Z12" s="544">
        <v>21721.240234375</v>
      </c>
      <c r="AA12" s="565"/>
      <c r="AB12" s="544">
        <v>27126.435546875</v>
      </c>
      <c r="AC12" s="565"/>
      <c r="AD12" s="544">
        <v>18489.18359375</v>
      </c>
      <c r="AE12" s="565"/>
      <c r="AF12" s="544">
        <v>34266.203125</v>
      </c>
      <c r="AG12" s="565"/>
      <c r="AH12" s="544">
        <v>32152.482421875</v>
      </c>
      <c r="AI12" s="565"/>
      <c r="AJ12" s="544">
        <v>17853.849609375</v>
      </c>
      <c r="AK12" s="565"/>
      <c r="AL12" s="544">
        <v>15364.6982421875</v>
      </c>
      <c r="AM12" s="565"/>
      <c r="AN12" s="544">
        <v>15398.412109375</v>
      </c>
      <c r="AO12" s="565"/>
      <c r="AP12" s="544">
        <v>13376.6455078125</v>
      </c>
      <c r="AQ12" s="565"/>
      <c r="AR12" s="544">
        <v>10623.572265625</v>
      </c>
      <c r="AS12" s="565"/>
      <c r="AT12" s="544">
        <v>24677</v>
      </c>
      <c r="AU12" s="565"/>
      <c r="AV12" s="544">
        <f>AV11+AV10</f>
        <v>14618.103690000002</v>
      </c>
      <c r="AW12" s="565"/>
      <c r="AX12" s="544">
        <f>AX11+AX10</f>
        <v>16387.014100000004</v>
      </c>
      <c r="AY12" s="565"/>
      <c r="BA12" s="265"/>
      <c r="BB12" s="98">
        <v>5</v>
      </c>
      <c r="BC12" s="270" t="s">
        <v>409</v>
      </c>
      <c r="BD12" s="82" t="s">
        <v>453</v>
      </c>
      <c r="BE12" s="81" t="str">
        <f t="shared" si="19"/>
        <v>ok</v>
      </c>
      <c r="BF12" s="262" t="s">
        <v>457</v>
      </c>
      <c r="BG12" s="98" t="str">
        <f t="shared" si="20"/>
        <v>ok</v>
      </c>
      <c r="BH12" s="262"/>
      <c r="BI12" s="79" t="str">
        <f t="shared" si="0"/>
        <v>ok</v>
      </c>
      <c r="BJ12" s="262"/>
      <c r="BK12" s="79" t="str">
        <f t="shared" si="1"/>
        <v>&gt; 25%</v>
      </c>
      <c r="BL12" s="262"/>
      <c r="BM12" s="79" t="str">
        <f t="shared" si="2"/>
        <v>ok</v>
      </c>
      <c r="BN12" s="262"/>
      <c r="BO12" s="79" t="str">
        <f t="shared" si="3"/>
        <v>ok</v>
      </c>
      <c r="BP12" s="262"/>
      <c r="BQ12" s="79" t="str">
        <f t="shared" si="4"/>
        <v>ok</v>
      </c>
      <c r="BR12" s="262"/>
      <c r="BS12" s="79" t="str">
        <f t="shared" si="5"/>
        <v>&gt; 25%</v>
      </c>
      <c r="BT12" s="262"/>
      <c r="BU12" s="79" t="str">
        <f t="shared" si="6"/>
        <v>ok</v>
      </c>
      <c r="BV12" s="262"/>
      <c r="BW12" s="79" t="str">
        <f t="shared" si="7"/>
        <v>ok</v>
      </c>
      <c r="BX12" s="262"/>
      <c r="BY12" s="79" t="str">
        <f t="shared" si="8"/>
        <v>ok</v>
      </c>
      <c r="BZ12" s="262"/>
      <c r="CA12" s="79" t="str">
        <f t="shared" si="9"/>
        <v>&gt; 25%</v>
      </c>
      <c r="CB12" s="262"/>
      <c r="CC12" s="79" t="str">
        <f t="shared" si="10"/>
        <v>&gt; 25%</v>
      </c>
      <c r="CD12" s="262"/>
      <c r="CE12" s="79" t="str">
        <f t="shared" si="11"/>
        <v>ok</v>
      </c>
      <c r="CF12" s="262"/>
      <c r="CG12" s="79" t="str">
        <f t="shared" si="12"/>
        <v>&gt; 25%</v>
      </c>
      <c r="CH12" s="262"/>
      <c r="CI12" s="79" t="str">
        <f t="shared" si="13"/>
        <v>ok</v>
      </c>
      <c r="CJ12" s="262"/>
      <c r="CK12" s="79" t="str">
        <f t="shared" si="14"/>
        <v>ok</v>
      </c>
      <c r="CL12" s="262"/>
      <c r="CM12" s="79" t="str">
        <f t="shared" si="15"/>
        <v>ok</v>
      </c>
      <c r="CN12" s="262"/>
      <c r="CO12" s="79" t="str">
        <f t="shared" si="21"/>
        <v>ok</v>
      </c>
      <c r="CP12" s="262"/>
      <c r="CQ12" s="79" t="str">
        <f t="shared" si="16"/>
        <v>&gt; 25%</v>
      </c>
      <c r="CR12" s="262"/>
      <c r="CS12" s="79" t="str">
        <f t="shared" si="17"/>
        <v>&gt; 25%</v>
      </c>
      <c r="CT12" s="262"/>
      <c r="CU12" s="79" t="str">
        <f t="shared" si="18"/>
        <v>ok</v>
      </c>
      <c r="CV12" s="262"/>
      <c r="CW12" s="79"/>
      <c r="CX12" s="262"/>
      <c r="CY12" s="79"/>
      <c r="DA12" s="247">
        <v>28</v>
      </c>
      <c r="DB12" s="599" t="s">
        <v>215</v>
      </c>
      <c r="DC12" s="247">
        <v>453.2</v>
      </c>
      <c r="DD12" s="247">
        <v>52</v>
      </c>
      <c r="DE12" s="247">
        <v>0</v>
      </c>
      <c r="DF12" s="247">
        <v>52</v>
      </c>
    </row>
    <row r="13" spans="1:110" s="269" customFormat="1" ht="26.25" customHeight="1" x14ac:dyDescent="0.2">
      <c r="A13" s="271" t="s">
        <v>448</v>
      </c>
      <c r="B13" s="249">
        <v>127</v>
      </c>
      <c r="C13" s="259">
        <v>6</v>
      </c>
      <c r="D13" s="266" t="s">
        <v>128</v>
      </c>
      <c r="E13" s="252" t="s">
        <v>57</v>
      </c>
      <c r="F13" s="543">
        <v>0</v>
      </c>
      <c r="G13" s="564" t="s">
        <v>695</v>
      </c>
      <c r="H13" s="543">
        <v>0</v>
      </c>
      <c r="I13" s="564" t="s">
        <v>695</v>
      </c>
      <c r="J13" s="543">
        <v>0</v>
      </c>
      <c r="K13" s="564" t="s">
        <v>695</v>
      </c>
      <c r="L13" s="543">
        <v>0</v>
      </c>
      <c r="M13" s="564" t="s">
        <v>695</v>
      </c>
      <c r="N13" s="543">
        <v>0</v>
      </c>
      <c r="O13" s="564" t="s">
        <v>695</v>
      </c>
      <c r="P13" s="543">
        <v>0</v>
      </c>
      <c r="Q13" s="564" t="s">
        <v>695</v>
      </c>
      <c r="R13" s="543">
        <v>0</v>
      </c>
      <c r="S13" s="564" t="s">
        <v>695</v>
      </c>
      <c r="T13" s="543">
        <v>0</v>
      </c>
      <c r="U13" s="564" t="s">
        <v>695</v>
      </c>
      <c r="V13" s="543">
        <v>0</v>
      </c>
      <c r="W13" s="564" t="s">
        <v>695</v>
      </c>
      <c r="X13" s="543">
        <v>0</v>
      </c>
      <c r="Y13" s="564" t="s">
        <v>695</v>
      </c>
      <c r="Z13" s="543">
        <v>0</v>
      </c>
      <c r="AA13" s="564" t="s">
        <v>695</v>
      </c>
      <c r="AB13" s="543">
        <v>0</v>
      </c>
      <c r="AC13" s="564" t="s">
        <v>695</v>
      </c>
      <c r="AD13" s="543">
        <v>0</v>
      </c>
      <c r="AE13" s="564" t="s">
        <v>695</v>
      </c>
      <c r="AF13" s="543">
        <v>0</v>
      </c>
      <c r="AG13" s="564" t="s">
        <v>695</v>
      </c>
      <c r="AH13" s="543">
        <v>0</v>
      </c>
      <c r="AI13" s="564" t="s">
        <v>695</v>
      </c>
      <c r="AJ13" s="543">
        <v>0</v>
      </c>
      <c r="AK13" s="564" t="s">
        <v>695</v>
      </c>
      <c r="AL13" s="543">
        <v>0</v>
      </c>
      <c r="AM13" s="564" t="s">
        <v>695</v>
      </c>
      <c r="AN13" s="543">
        <v>0</v>
      </c>
      <c r="AO13" s="564" t="s">
        <v>695</v>
      </c>
      <c r="AP13" s="543">
        <v>0</v>
      </c>
      <c r="AQ13" s="564" t="s">
        <v>695</v>
      </c>
      <c r="AR13" s="543">
        <v>0</v>
      </c>
      <c r="AS13" s="564" t="s">
        <v>695</v>
      </c>
      <c r="AT13" s="543">
        <v>0</v>
      </c>
      <c r="AU13" s="564" t="s">
        <v>695</v>
      </c>
      <c r="AV13" s="543">
        <v>0</v>
      </c>
      <c r="AW13" s="564" t="s">
        <v>695</v>
      </c>
      <c r="AX13" s="543">
        <v>0</v>
      </c>
      <c r="AY13" s="564" t="s">
        <v>695</v>
      </c>
      <c r="BA13" s="265"/>
      <c r="BB13" s="98">
        <v>6</v>
      </c>
      <c r="BC13" s="261" t="s">
        <v>356</v>
      </c>
      <c r="BD13" s="82" t="s">
        <v>453</v>
      </c>
      <c r="BE13" s="272" t="str">
        <f t="shared" si="19"/>
        <v>ok</v>
      </c>
      <c r="BF13" s="273" t="s">
        <v>457</v>
      </c>
      <c r="BG13" s="81" t="e">
        <f t="shared" si="20"/>
        <v>#DIV/0!</v>
      </c>
      <c r="BH13" s="273"/>
      <c r="BI13" s="82" t="e">
        <f t="shared" si="0"/>
        <v>#DIV/0!</v>
      </c>
      <c r="BJ13" s="262"/>
      <c r="BK13" s="82" t="e">
        <f t="shared" si="1"/>
        <v>#DIV/0!</v>
      </c>
      <c r="BL13" s="262"/>
      <c r="BM13" s="82" t="e">
        <f t="shared" si="2"/>
        <v>#DIV/0!</v>
      </c>
      <c r="BN13" s="262"/>
      <c r="BO13" s="82" t="e">
        <f t="shared" si="3"/>
        <v>#DIV/0!</v>
      </c>
      <c r="BP13" s="262"/>
      <c r="BQ13" s="82" t="e">
        <f t="shared" si="4"/>
        <v>#DIV/0!</v>
      </c>
      <c r="BR13" s="262"/>
      <c r="BS13" s="82" t="e">
        <f t="shared" si="5"/>
        <v>#DIV/0!</v>
      </c>
      <c r="BT13" s="262"/>
      <c r="BU13" s="79" t="e">
        <f t="shared" si="6"/>
        <v>#DIV/0!</v>
      </c>
      <c r="BV13" s="273"/>
      <c r="BW13" s="79" t="e">
        <f t="shared" si="7"/>
        <v>#DIV/0!</v>
      </c>
      <c r="BX13" s="273"/>
      <c r="BY13" s="79" t="e">
        <f t="shared" si="8"/>
        <v>#DIV/0!</v>
      </c>
      <c r="BZ13" s="273"/>
      <c r="CA13" s="79" t="e">
        <f t="shared" si="9"/>
        <v>#DIV/0!</v>
      </c>
      <c r="CB13" s="273"/>
      <c r="CC13" s="79" t="e">
        <f t="shared" si="10"/>
        <v>#DIV/0!</v>
      </c>
      <c r="CD13" s="273"/>
      <c r="CE13" s="79" t="e">
        <f t="shared" si="11"/>
        <v>#DIV/0!</v>
      </c>
      <c r="CF13" s="273"/>
      <c r="CG13" s="79" t="e">
        <f t="shared" si="12"/>
        <v>#DIV/0!</v>
      </c>
      <c r="CH13" s="273"/>
      <c r="CI13" s="79" t="e">
        <f t="shared" si="13"/>
        <v>#DIV/0!</v>
      </c>
      <c r="CJ13" s="273"/>
      <c r="CK13" s="79" t="e">
        <f t="shared" si="14"/>
        <v>#DIV/0!</v>
      </c>
      <c r="CL13" s="273"/>
      <c r="CM13" s="79" t="e">
        <f t="shared" si="15"/>
        <v>#DIV/0!</v>
      </c>
      <c r="CN13" s="273"/>
      <c r="CO13" s="79" t="e">
        <f t="shared" si="21"/>
        <v>#DIV/0!</v>
      </c>
      <c r="CP13" s="273"/>
      <c r="CQ13" s="79" t="e">
        <f t="shared" si="16"/>
        <v>#DIV/0!</v>
      </c>
      <c r="CR13" s="273"/>
      <c r="CS13" s="79" t="e">
        <f t="shared" si="17"/>
        <v>#DIV/0!</v>
      </c>
      <c r="CT13" s="273"/>
      <c r="CU13" s="79" t="e">
        <f t="shared" si="18"/>
        <v>#DIV/0!</v>
      </c>
      <c r="CV13" s="273"/>
      <c r="CW13" s="79"/>
      <c r="CX13" s="273"/>
      <c r="CY13" s="79"/>
      <c r="DA13" s="247">
        <v>32</v>
      </c>
      <c r="DB13" s="599" t="s">
        <v>216</v>
      </c>
      <c r="DC13" s="247">
        <v>1643000</v>
      </c>
      <c r="DD13" s="247">
        <v>292000</v>
      </c>
      <c r="DE13" s="247">
        <v>516299.99999999994</v>
      </c>
      <c r="DF13" s="247">
        <v>876200</v>
      </c>
    </row>
    <row r="14" spans="1:110" s="269" customFormat="1" ht="26.25" customHeight="1" x14ac:dyDescent="0.2">
      <c r="A14" s="263"/>
      <c r="B14" s="249">
        <v>125</v>
      </c>
      <c r="C14" s="274">
        <v>7</v>
      </c>
      <c r="D14" s="588" t="s">
        <v>404</v>
      </c>
      <c r="E14" s="252" t="s">
        <v>57</v>
      </c>
      <c r="F14" s="554"/>
      <c r="G14" s="569"/>
      <c r="H14" s="554"/>
      <c r="I14" s="569"/>
      <c r="J14" s="554"/>
      <c r="K14" s="569"/>
      <c r="L14" s="554"/>
      <c r="M14" s="569"/>
      <c r="N14" s="554"/>
      <c r="O14" s="569"/>
      <c r="P14" s="554"/>
      <c r="Q14" s="569"/>
      <c r="R14" s="554"/>
      <c r="S14" s="569"/>
      <c r="T14" s="554"/>
      <c r="U14" s="569"/>
      <c r="V14" s="554"/>
      <c r="W14" s="569"/>
      <c r="X14" s="554"/>
      <c r="Y14" s="569"/>
      <c r="Z14" s="554"/>
      <c r="AA14" s="569"/>
      <c r="AB14" s="554"/>
      <c r="AC14" s="569"/>
      <c r="AD14" s="554"/>
      <c r="AE14" s="569"/>
      <c r="AF14" s="554"/>
      <c r="AG14" s="569"/>
      <c r="AH14" s="554"/>
      <c r="AI14" s="569"/>
      <c r="AJ14" s="554"/>
      <c r="AK14" s="569"/>
      <c r="AL14" s="554"/>
      <c r="AM14" s="569"/>
      <c r="AN14" s="554"/>
      <c r="AO14" s="569"/>
      <c r="AP14" s="554"/>
      <c r="AQ14" s="569"/>
      <c r="AR14" s="554"/>
      <c r="AS14" s="569"/>
      <c r="AT14" s="554"/>
      <c r="AU14" s="569"/>
      <c r="AV14" s="554"/>
      <c r="AW14" s="569"/>
      <c r="AX14" s="554"/>
      <c r="AY14" s="569"/>
      <c r="BA14" s="265"/>
      <c r="BB14" s="81">
        <v>7</v>
      </c>
      <c r="BC14" s="275" t="s">
        <v>558</v>
      </c>
      <c r="BD14" s="82" t="s">
        <v>453</v>
      </c>
      <c r="BE14" s="272" t="str">
        <f t="shared" si="19"/>
        <v>N/A</v>
      </c>
      <c r="BF14" s="273" t="s">
        <v>457</v>
      </c>
      <c r="BG14" s="81" t="str">
        <f t="shared" si="20"/>
        <v>N/A</v>
      </c>
      <c r="BH14" s="273"/>
      <c r="BI14" s="95" t="str">
        <f t="shared" si="0"/>
        <v>N/A</v>
      </c>
      <c r="BJ14" s="276"/>
      <c r="BK14" s="95" t="str">
        <f t="shared" si="1"/>
        <v>N/A</v>
      </c>
      <c r="BL14" s="276"/>
      <c r="BM14" s="95" t="str">
        <f t="shared" si="2"/>
        <v>N/A</v>
      </c>
      <c r="BN14" s="276"/>
      <c r="BO14" s="95" t="str">
        <f t="shared" si="3"/>
        <v>N/A</v>
      </c>
      <c r="BP14" s="276"/>
      <c r="BQ14" s="95" t="str">
        <f t="shared" si="4"/>
        <v>N/A</v>
      </c>
      <c r="BR14" s="276"/>
      <c r="BS14" s="95" t="str">
        <f t="shared" si="5"/>
        <v>N/A</v>
      </c>
      <c r="BT14" s="273"/>
      <c r="BU14" s="79" t="str">
        <f t="shared" si="6"/>
        <v>N/A</v>
      </c>
      <c r="BV14" s="273"/>
      <c r="BW14" s="79" t="str">
        <f t="shared" si="7"/>
        <v>N/A</v>
      </c>
      <c r="BX14" s="273"/>
      <c r="BY14" s="79" t="str">
        <f t="shared" si="8"/>
        <v>N/A</v>
      </c>
      <c r="BZ14" s="273"/>
      <c r="CA14" s="79" t="str">
        <f t="shared" si="9"/>
        <v>N/A</v>
      </c>
      <c r="CB14" s="273"/>
      <c r="CC14" s="79" t="str">
        <f t="shared" si="10"/>
        <v>N/A</v>
      </c>
      <c r="CD14" s="273"/>
      <c r="CE14" s="79" t="str">
        <f t="shared" si="11"/>
        <v>N/A</v>
      </c>
      <c r="CF14" s="273"/>
      <c r="CG14" s="79" t="str">
        <f t="shared" si="12"/>
        <v>N/A</v>
      </c>
      <c r="CH14" s="273"/>
      <c r="CI14" s="79" t="str">
        <f t="shared" si="13"/>
        <v>N/A</v>
      </c>
      <c r="CJ14" s="273"/>
      <c r="CK14" s="79" t="str">
        <f t="shared" si="14"/>
        <v>N/A</v>
      </c>
      <c r="CL14" s="273"/>
      <c r="CM14" s="79" t="str">
        <f t="shared" si="15"/>
        <v>N/A</v>
      </c>
      <c r="CN14" s="273"/>
      <c r="CO14" s="79" t="str">
        <f t="shared" si="21"/>
        <v>N/A</v>
      </c>
      <c r="CP14" s="273"/>
      <c r="CQ14" s="79" t="str">
        <f t="shared" si="16"/>
        <v>N/A</v>
      </c>
      <c r="CR14" s="273"/>
      <c r="CS14" s="79" t="str">
        <f t="shared" si="17"/>
        <v>N/A</v>
      </c>
      <c r="CT14" s="273"/>
      <c r="CU14" s="79" t="str">
        <f t="shared" si="18"/>
        <v>N/A</v>
      </c>
      <c r="CV14" s="273"/>
      <c r="CW14" s="79"/>
      <c r="CX14" s="273"/>
      <c r="CY14" s="79"/>
      <c r="DA14" s="247">
        <v>51</v>
      </c>
      <c r="DB14" s="599" t="s">
        <v>217</v>
      </c>
      <c r="DC14" s="247">
        <v>16710</v>
      </c>
      <c r="DD14" s="247">
        <v>6859</v>
      </c>
      <c r="DE14" s="247">
        <v>0</v>
      </c>
      <c r="DF14" s="247">
        <v>7769</v>
      </c>
    </row>
    <row r="15" spans="1:110" s="269" customFormat="1" ht="20.25" customHeight="1" x14ac:dyDescent="0.2">
      <c r="A15" s="263"/>
      <c r="B15" s="249">
        <v>126</v>
      </c>
      <c r="C15" s="274">
        <v>8</v>
      </c>
      <c r="D15" s="266" t="s">
        <v>405</v>
      </c>
      <c r="E15" s="252" t="s">
        <v>57</v>
      </c>
      <c r="F15" s="545"/>
      <c r="G15" s="566"/>
      <c r="H15" s="545"/>
      <c r="I15" s="566"/>
      <c r="J15" s="545"/>
      <c r="K15" s="566"/>
      <c r="L15" s="545"/>
      <c r="M15" s="566"/>
      <c r="N15" s="545"/>
      <c r="O15" s="566"/>
      <c r="P15" s="545"/>
      <c r="Q15" s="566"/>
      <c r="R15" s="545"/>
      <c r="S15" s="566"/>
      <c r="T15" s="545"/>
      <c r="U15" s="566"/>
      <c r="V15" s="545"/>
      <c r="W15" s="566"/>
      <c r="X15" s="545"/>
      <c r="Y15" s="566"/>
      <c r="Z15" s="545"/>
      <c r="AA15" s="566"/>
      <c r="AB15" s="545"/>
      <c r="AC15" s="566"/>
      <c r="AD15" s="545"/>
      <c r="AE15" s="566"/>
      <c r="AF15" s="545"/>
      <c r="AG15" s="566"/>
      <c r="AH15" s="545"/>
      <c r="AI15" s="566"/>
      <c r="AJ15" s="545"/>
      <c r="AK15" s="566"/>
      <c r="AL15" s="545"/>
      <c r="AM15" s="566"/>
      <c r="AN15" s="545"/>
      <c r="AO15" s="566"/>
      <c r="AP15" s="545"/>
      <c r="AQ15" s="566"/>
      <c r="AR15" s="545"/>
      <c r="AS15" s="566"/>
      <c r="AT15" s="545"/>
      <c r="AU15" s="566"/>
      <c r="AV15" s="545"/>
      <c r="AW15" s="566"/>
      <c r="AX15" s="545"/>
      <c r="AY15" s="566"/>
      <c r="BA15" s="265"/>
      <c r="BB15" s="98">
        <v>8</v>
      </c>
      <c r="BC15" s="277" t="s">
        <v>470</v>
      </c>
      <c r="BD15" s="82" t="s">
        <v>453</v>
      </c>
      <c r="BE15" s="272" t="str">
        <f t="shared" si="19"/>
        <v>N/A</v>
      </c>
      <c r="BF15" s="273" t="s">
        <v>457</v>
      </c>
      <c r="BG15" s="81" t="str">
        <f t="shared" si="20"/>
        <v>N/A</v>
      </c>
      <c r="BH15" s="262"/>
      <c r="BI15" s="82" t="str">
        <f t="shared" si="0"/>
        <v>N/A</v>
      </c>
      <c r="BJ15" s="262"/>
      <c r="BK15" s="82" t="str">
        <f t="shared" si="1"/>
        <v>N/A</v>
      </c>
      <c r="BL15" s="262"/>
      <c r="BM15" s="82" t="str">
        <f t="shared" si="2"/>
        <v>N/A</v>
      </c>
      <c r="BN15" s="262"/>
      <c r="BO15" s="82" t="str">
        <f t="shared" si="3"/>
        <v>N/A</v>
      </c>
      <c r="BP15" s="262"/>
      <c r="BQ15" s="82" t="str">
        <f t="shared" si="4"/>
        <v>N/A</v>
      </c>
      <c r="BR15" s="262"/>
      <c r="BS15" s="82" t="str">
        <f t="shared" si="5"/>
        <v>N/A</v>
      </c>
      <c r="BT15" s="262"/>
      <c r="BU15" s="79" t="str">
        <f t="shared" si="6"/>
        <v>N/A</v>
      </c>
      <c r="BV15" s="273"/>
      <c r="BW15" s="79" t="str">
        <f t="shared" si="7"/>
        <v>N/A</v>
      </c>
      <c r="BX15" s="273"/>
      <c r="BY15" s="79" t="str">
        <f t="shared" si="8"/>
        <v>N/A</v>
      </c>
      <c r="BZ15" s="273"/>
      <c r="CA15" s="79" t="str">
        <f t="shared" si="9"/>
        <v>N/A</v>
      </c>
      <c r="CB15" s="273"/>
      <c r="CC15" s="79" t="str">
        <f t="shared" si="10"/>
        <v>N/A</v>
      </c>
      <c r="CD15" s="273"/>
      <c r="CE15" s="79" t="str">
        <f t="shared" si="11"/>
        <v>N/A</v>
      </c>
      <c r="CF15" s="273"/>
      <c r="CG15" s="79" t="str">
        <f t="shared" si="12"/>
        <v>N/A</v>
      </c>
      <c r="CH15" s="273"/>
      <c r="CI15" s="79" t="str">
        <f t="shared" si="13"/>
        <v>N/A</v>
      </c>
      <c r="CJ15" s="273"/>
      <c r="CK15" s="79" t="str">
        <f t="shared" si="14"/>
        <v>N/A</v>
      </c>
      <c r="CL15" s="273"/>
      <c r="CM15" s="79" t="str">
        <f t="shared" si="15"/>
        <v>N/A</v>
      </c>
      <c r="CN15" s="273"/>
      <c r="CO15" s="79" t="str">
        <f t="shared" si="21"/>
        <v>N/A</v>
      </c>
      <c r="CP15" s="273"/>
      <c r="CQ15" s="79" t="str">
        <f t="shared" si="16"/>
        <v>N/A</v>
      </c>
      <c r="CR15" s="273"/>
      <c r="CS15" s="79" t="str">
        <f t="shared" si="17"/>
        <v>N/A</v>
      </c>
      <c r="CT15" s="273"/>
      <c r="CU15" s="79" t="str">
        <f t="shared" si="18"/>
        <v>N/A</v>
      </c>
      <c r="CV15" s="273"/>
      <c r="CW15" s="79"/>
      <c r="CX15" s="273"/>
      <c r="CY15" s="79"/>
      <c r="DA15" s="247">
        <v>31</v>
      </c>
      <c r="DB15" s="599" t="s">
        <v>218</v>
      </c>
      <c r="DC15" s="247">
        <v>38710</v>
      </c>
      <c r="DD15" s="247">
        <v>8115</v>
      </c>
      <c r="DE15" s="247">
        <v>19760</v>
      </c>
      <c r="DF15" s="247">
        <v>34680</v>
      </c>
    </row>
    <row r="16" spans="1:110" s="269" customFormat="1" ht="26.25" customHeight="1" x14ac:dyDescent="0.2">
      <c r="A16" s="263"/>
      <c r="B16" s="249">
        <v>128</v>
      </c>
      <c r="C16" s="278">
        <v>9</v>
      </c>
      <c r="D16" s="280" t="s">
        <v>131</v>
      </c>
      <c r="E16" s="279" t="s">
        <v>57</v>
      </c>
      <c r="F16" s="546">
        <v>20004.037109375</v>
      </c>
      <c r="G16" s="567" t="s">
        <v>696</v>
      </c>
      <c r="H16" s="546">
        <v>22818.2890625</v>
      </c>
      <c r="I16" s="567" t="s">
        <v>696</v>
      </c>
      <c r="J16" s="546">
        <v>22960.99609375</v>
      </c>
      <c r="K16" s="567" t="s">
        <v>696</v>
      </c>
      <c r="L16" s="546">
        <v>20125.453125</v>
      </c>
      <c r="M16" s="567" t="s">
        <v>696</v>
      </c>
      <c r="N16" s="546">
        <v>14831.677734375</v>
      </c>
      <c r="O16" s="567" t="s">
        <v>696</v>
      </c>
      <c r="P16" s="546">
        <v>15748.2099609375</v>
      </c>
      <c r="Q16" s="567" t="s">
        <v>696</v>
      </c>
      <c r="R16" s="546">
        <v>18251.31640625</v>
      </c>
      <c r="S16" s="567" t="s">
        <v>696</v>
      </c>
      <c r="T16" s="546">
        <v>16580.15234375</v>
      </c>
      <c r="U16" s="567" t="s">
        <v>696</v>
      </c>
      <c r="V16" s="546">
        <v>26717.060546875</v>
      </c>
      <c r="W16" s="567" t="s">
        <v>696</v>
      </c>
      <c r="X16" s="546">
        <v>23580.326171875</v>
      </c>
      <c r="Y16" s="567" t="s">
        <v>696</v>
      </c>
      <c r="Z16" s="546">
        <v>21269.015625</v>
      </c>
      <c r="AA16" s="567" t="s">
        <v>696</v>
      </c>
      <c r="AB16" s="546">
        <v>25562.375</v>
      </c>
      <c r="AC16" s="567" t="s">
        <v>696</v>
      </c>
      <c r="AD16" s="546">
        <v>17680.9453125</v>
      </c>
      <c r="AE16" s="567" t="s">
        <v>696</v>
      </c>
      <c r="AF16" s="546">
        <v>32031.390625</v>
      </c>
      <c r="AG16" s="567" t="s">
        <v>696</v>
      </c>
      <c r="AH16" s="546">
        <v>29724.27734375</v>
      </c>
      <c r="AI16" s="567" t="s">
        <v>696</v>
      </c>
      <c r="AJ16" s="546">
        <v>19564.625</v>
      </c>
      <c r="AK16" s="567" t="s">
        <v>696</v>
      </c>
      <c r="AL16" s="546">
        <v>16091.513671875</v>
      </c>
      <c r="AM16" s="567" t="s">
        <v>696</v>
      </c>
      <c r="AN16" s="546">
        <v>16533.615234375</v>
      </c>
      <c r="AO16" s="567" t="s">
        <v>696</v>
      </c>
      <c r="AP16" s="546">
        <v>13228.306640625</v>
      </c>
      <c r="AQ16" s="567" t="s">
        <v>696</v>
      </c>
      <c r="AR16" s="546">
        <v>12203.3134765625</v>
      </c>
      <c r="AS16" s="567" t="s">
        <v>696</v>
      </c>
      <c r="AT16" s="546">
        <v>21069.88671875</v>
      </c>
      <c r="AU16" s="567" t="s">
        <v>696</v>
      </c>
      <c r="AV16" s="546">
        <v>10009.008</v>
      </c>
      <c r="AW16" s="567" t="s">
        <v>702</v>
      </c>
      <c r="AX16" s="546">
        <v>10515.7521</v>
      </c>
      <c r="AY16" s="567" t="s">
        <v>702</v>
      </c>
      <c r="BA16" s="265"/>
      <c r="BB16" s="281">
        <v>9</v>
      </c>
      <c r="BC16" s="277" t="s">
        <v>458</v>
      </c>
      <c r="BD16" s="82" t="s">
        <v>453</v>
      </c>
      <c r="BE16" s="272" t="str">
        <f t="shared" si="19"/>
        <v>ok</v>
      </c>
      <c r="BF16" s="273" t="s">
        <v>457</v>
      </c>
      <c r="BG16" s="281" t="str">
        <f t="shared" si="20"/>
        <v>ok</v>
      </c>
      <c r="BH16" s="276"/>
      <c r="BI16" s="95" t="str">
        <f t="shared" si="0"/>
        <v>ok</v>
      </c>
      <c r="BJ16" s="276"/>
      <c r="BK16" s="95" t="str">
        <f t="shared" si="1"/>
        <v>&gt; 25%</v>
      </c>
      <c r="BL16" s="276"/>
      <c r="BM16" s="95" t="str">
        <f t="shared" si="2"/>
        <v>ok</v>
      </c>
      <c r="BN16" s="276"/>
      <c r="BO16" s="95" t="str">
        <f t="shared" si="3"/>
        <v>ok</v>
      </c>
      <c r="BP16" s="276"/>
      <c r="BQ16" s="95" t="str">
        <f t="shared" si="4"/>
        <v>ok</v>
      </c>
      <c r="BR16" s="276"/>
      <c r="BS16" s="95" t="str">
        <f t="shared" si="5"/>
        <v>&gt; 25%</v>
      </c>
      <c r="BT16" s="276"/>
      <c r="BU16" s="79" t="str">
        <f t="shared" si="6"/>
        <v>ok</v>
      </c>
      <c r="BV16" s="273"/>
      <c r="BW16" s="79" t="str">
        <f t="shared" si="7"/>
        <v>ok</v>
      </c>
      <c r="BX16" s="273"/>
      <c r="BY16" s="79" t="str">
        <f t="shared" si="8"/>
        <v>ok</v>
      </c>
      <c r="BZ16" s="273"/>
      <c r="CA16" s="79" t="str">
        <f t="shared" si="9"/>
        <v>&gt; 25%</v>
      </c>
      <c r="CB16" s="273"/>
      <c r="CC16" s="79" t="str">
        <f t="shared" si="10"/>
        <v>&gt; 25%</v>
      </c>
      <c r="CD16" s="273"/>
      <c r="CE16" s="79" t="str">
        <f t="shared" si="11"/>
        <v>ok</v>
      </c>
      <c r="CF16" s="273"/>
      <c r="CG16" s="79" t="str">
        <f t="shared" si="12"/>
        <v>&gt; 25%</v>
      </c>
      <c r="CH16" s="273"/>
      <c r="CI16" s="79" t="str">
        <f t="shared" si="13"/>
        <v>ok</v>
      </c>
      <c r="CJ16" s="273"/>
      <c r="CK16" s="79" t="str">
        <f t="shared" si="14"/>
        <v>ok</v>
      </c>
      <c r="CL16" s="273"/>
      <c r="CM16" s="79" t="str">
        <f t="shared" si="15"/>
        <v>ok</v>
      </c>
      <c r="CN16" s="273"/>
      <c r="CO16" s="79" t="str">
        <f t="shared" si="21"/>
        <v>ok</v>
      </c>
      <c r="CP16" s="273"/>
      <c r="CQ16" s="79" t="str">
        <f t="shared" si="16"/>
        <v>&gt; 25%</v>
      </c>
      <c r="CR16" s="273"/>
      <c r="CS16" s="79" t="str">
        <f t="shared" si="17"/>
        <v>&gt; 25%</v>
      </c>
      <c r="CT16" s="273"/>
      <c r="CU16" s="79" t="str">
        <f t="shared" si="18"/>
        <v>ok</v>
      </c>
      <c r="CV16" s="273"/>
      <c r="CW16" s="79"/>
      <c r="CX16" s="273"/>
      <c r="CY16" s="79"/>
      <c r="DA16" s="247">
        <v>44</v>
      </c>
      <c r="DB16" s="599" t="s">
        <v>219</v>
      </c>
      <c r="DC16" s="247">
        <v>17930</v>
      </c>
      <c r="DD16" s="247">
        <v>700</v>
      </c>
      <c r="DE16" s="247">
        <v>0</v>
      </c>
      <c r="DF16" s="247">
        <v>700</v>
      </c>
    </row>
    <row r="17" spans="1:113" s="269" customFormat="1" ht="8.25" customHeight="1" x14ac:dyDescent="0.2">
      <c r="A17" s="248"/>
      <c r="B17" s="265"/>
      <c r="BA17" s="265"/>
      <c r="BB17" s="96"/>
      <c r="BC17" s="282"/>
      <c r="BD17" s="80"/>
      <c r="BE17" s="96"/>
      <c r="BF17" s="283"/>
      <c r="BG17" s="96"/>
      <c r="BH17" s="283"/>
      <c r="BI17" s="80"/>
      <c r="BJ17" s="283"/>
      <c r="BK17" s="80"/>
      <c r="BL17" s="283"/>
      <c r="BM17" s="80"/>
      <c r="BN17" s="283"/>
      <c r="BO17" s="80"/>
      <c r="BP17" s="283"/>
      <c r="BQ17" s="80"/>
      <c r="BR17" s="283"/>
      <c r="BS17" s="80"/>
      <c r="BT17" s="283"/>
      <c r="BU17" s="80"/>
      <c r="BV17" s="283"/>
      <c r="BW17" s="80"/>
      <c r="BX17" s="283"/>
      <c r="BY17" s="80"/>
      <c r="BZ17" s="283"/>
      <c r="CA17" s="80"/>
      <c r="CB17" s="283"/>
      <c r="CC17" s="80"/>
      <c r="CD17" s="283"/>
      <c r="CE17" s="80"/>
      <c r="CF17" s="283"/>
      <c r="CG17" s="80"/>
      <c r="CH17" s="283"/>
      <c r="CI17" s="80"/>
      <c r="CJ17" s="283"/>
      <c r="CK17" s="80"/>
      <c r="CL17" s="283"/>
      <c r="CM17" s="80"/>
      <c r="CN17" s="283"/>
      <c r="CO17" s="80"/>
      <c r="CP17" s="283"/>
      <c r="CQ17" s="80"/>
      <c r="CR17" s="283"/>
      <c r="CS17" s="80"/>
      <c r="CT17" s="283"/>
      <c r="CU17" s="80"/>
      <c r="CV17" s="283"/>
      <c r="CW17" s="80"/>
      <c r="CX17" s="283"/>
      <c r="CY17" s="80"/>
      <c r="DA17" s="247">
        <v>48</v>
      </c>
      <c r="DB17" s="599" t="s">
        <v>220</v>
      </c>
      <c r="DC17" s="247">
        <v>64</v>
      </c>
      <c r="DD17" s="247">
        <v>4</v>
      </c>
      <c r="DE17" s="247">
        <v>0</v>
      </c>
      <c r="DF17" s="247">
        <v>116</v>
      </c>
    </row>
    <row r="18" spans="1:113" s="253" customFormat="1" ht="6.75" customHeight="1" x14ac:dyDescent="0.2">
      <c r="A18" s="191"/>
      <c r="B18" s="249"/>
      <c r="C18" s="284"/>
      <c r="D18" s="285"/>
      <c r="E18" s="284"/>
      <c r="G18" s="284"/>
      <c r="BA18" s="254"/>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202"/>
      <c r="CA18" s="202"/>
      <c r="CB18" s="202"/>
      <c r="CC18" s="202"/>
      <c r="CD18" s="202"/>
      <c r="CE18" s="202"/>
      <c r="CF18" s="202"/>
      <c r="CG18" s="202"/>
      <c r="CH18" s="202"/>
      <c r="CI18" s="202"/>
      <c r="CJ18" s="202"/>
      <c r="CK18" s="202"/>
      <c r="CL18" s="202"/>
      <c r="CM18" s="202"/>
      <c r="CN18" s="202"/>
      <c r="CO18" s="202"/>
      <c r="CP18" s="202"/>
      <c r="CQ18" s="202"/>
      <c r="CR18" s="202"/>
      <c r="CS18" s="202"/>
      <c r="CT18" s="202"/>
      <c r="CU18" s="202"/>
      <c r="CV18" s="202"/>
      <c r="CW18" s="202"/>
      <c r="CX18" s="202"/>
      <c r="CY18" s="202"/>
      <c r="DA18" s="247">
        <v>50</v>
      </c>
      <c r="DB18" s="599" t="s">
        <v>221</v>
      </c>
      <c r="DC18" s="247">
        <v>393600</v>
      </c>
      <c r="DD18" s="247">
        <v>105000</v>
      </c>
      <c r="DE18" s="247">
        <v>1122000</v>
      </c>
      <c r="DF18" s="247">
        <v>1227000</v>
      </c>
    </row>
    <row r="19" spans="1:113" ht="5.45" customHeight="1" x14ac:dyDescent="0.2">
      <c r="AU19" s="231"/>
      <c r="AY19" s="231"/>
      <c r="BB19" s="238" t="s">
        <v>559</v>
      </c>
      <c r="DA19" s="247">
        <v>52</v>
      </c>
      <c r="DB19" s="599" t="s">
        <v>222</v>
      </c>
      <c r="DC19" s="247">
        <v>611.5</v>
      </c>
      <c r="DD19" s="247">
        <v>80</v>
      </c>
      <c r="DE19" s="247">
        <v>0</v>
      </c>
      <c r="DF19" s="247">
        <v>80</v>
      </c>
    </row>
    <row r="20" spans="1:113" ht="15.75" customHeight="1" x14ac:dyDescent="0.25">
      <c r="C20" s="287" t="s">
        <v>480</v>
      </c>
      <c r="D20" s="288"/>
      <c r="E20" s="289"/>
      <c r="F20" s="287"/>
      <c r="G20" s="235"/>
      <c r="H20" s="290"/>
      <c r="I20" s="291"/>
      <c r="J20" s="290"/>
      <c r="K20" s="291"/>
      <c r="L20" s="291"/>
      <c r="M20" s="291"/>
      <c r="N20" s="291"/>
      <c r="O20" s="291"/>
      <c r="P20" s="291"/>
      <c r="Q20" s="291"/>
      <c r="R20" s="290"/>
      <c r="S20" s="291"/>
      <c r="T20" s="290"/>
      <c r="U20" s="291"/>
      <c r="V20" s="290"/>
      <c r="W20" s="235"/>
      <c r="X20" s="290"/>
      <c r="Y20" s="235"/>
      <c r="Z20" s="290"/>
      <c r="AA20" s="235"/>
      <c r="AB20" s="290"/>
      <c r="AC20" s="235"/>
      <c r="AD20" s="290"/>
      <c r="AE20" s="235"/>
      <c r="AF20" s="290"/>
      <c r="AG20" s="235"/>
      <c r="AH20" s="290"/>
      <c r="AI20" s="291"/>
      <c r="AJ20" s="290"/>
      <c r="AK20" s="235"/>
      <c r="AL20" s="290"/>
      <c r="AM20" s="235"/>
      <c r="AN20" s="290"/>
      <c r="AO20" s="235"/>
      <c r="AP20" s="235"/>
      <c r="AQ20" s="235"/>
      <c r="AR20" s="235"/>
      <c r="AS20" s="235"/>
      <c r="AT20" s="290"/>
      <c r="AU20" s="212"/>
      <c r="AV20" s="213"/>
      <c r="AW20" s="213"/>
      <c r="AX20" s="290"/>
      <c r="AY20" s="212"/>
      <c r="AZ20" s="213"/>
      <c r="BB20" s="243" t="s">
        <v>195</v>
      </c>
      <c r="BC20" s="243" t="s">
        <v>196</v>
      </c>
      <c r="BD20" s="244" t="s">
        <v>197</v>
      </c>
      <c r="BE20" s="243" t="s">
        <v>203</v>
      </c>
      <c r="BF20" s="244">
        <v>1990</v>
      </c>
      <c r="BG20" s="244">
        <v>1995</v>
      </c>
      <c r="BH20" s="245"/>
      <c r="BI20" s="586">
        <v>2000</v>
      </c>
      <c r="BJ20" s="585"/>
      <c r="BK20" s="586">
        <v>2001</v>
      </c>
      <c r="BL20" s="585"/>
      <c r="BM20" s="586">
        <v>2002</v>
      </c>
      <c r="BN20" s="585"/>
      <c r="BO20" s="586">
        <v>2003</v>
      </c>
      <c r="BP20" s="585"/>
      <c r="BQ20" s="586">
        <v>2004</v>
      </c>
      <c r="BR20" s="585"/>
      <c r="BS20" s="586">
        <v>2005</v>
      </c>
      <c r="BT20" s="585"/>
      <c r="BU20" s="586">
        <v>2006</v>
      </c>
      <c r="BV20" s="585"/>
      <c r="BW20" s="586">
        <v>2007</v>
      </c>
      <c r="BX20" s="585"/>
      <c r="BY20" s="586">
        <v>2008</v>
      </c>
      <c r="BZ20" s="585"/>
      <c r="CA20" s="586">
        <v>2009</v>
      </c>
      <c r="CB20" s="585"/>
      <c r="CC20" s="586">
        <v>2010</v>
      </c>
      <c r="CD20" s="585"/>
      <c r="CE20" s="586">
        <v>2011</v>
      </c>
      <c r="CF20" s="585"/>
      <c r="CG20" s="586">
        <v>2012</v>
      </c>
      <c r="CH20" s="587"/>
      <c r="CI20" s="586">
        <v>2013</v>
      </c>
      <c r="CJ20" s="585"/>
      <c r="CK20" s="586">
        <v>2014</v>
      </c>
      <c r="CL20" s="585"/>
      <c r="CM20" s="244">
        <v>2015</v>
      </c>
      <c r="CN20" s="244"/>
      <c r="CO20" s="244">
        <v>2016</v>
      </c>
      <c r="CP20" s="244"/>
      <c r="CQ20" s="244">
        <v>2017</v>
      </c>
      <c r="CR20" s="244"/>
      <c r="CS20" s="244">
        <v>2018</v>
      </c>
      <c r="CT20" s="244"/>
      <c r="CU20" s="244">
        <v>2019</v>
      </c>
      <c r="CV20" s="244"/>
      <c r="CW20" s="586"/>
      <c r="CX20" s="585"/>
      <c r="CY20" s="586"/>
      <c r="DA20" s="247">
        <v>112</v>
      </c>
      <c r="DB20" s="599" t="s">
        <v>223</v>
      </c>
      <c r="DC20" s="247">
        <v>128300.00000000001</v>
      </c>
      <c r="DD20" s="247">
        <v>34000</v>
      </c>
      <c r="DE20" s="247">
        <v>23900</v>
      </c>
      <c r="DF20" s="247">
        <v>57900</v>
      </c>
    </row>
    <row r="21" spans="1:113" ht="15" customHeight="1" x14ac:dyDescent="0.2">
      <c r="C21" s="292" t="s">
        <v>474</v>
      </c>
      <c r="D21" s="783" t="s">
        <v>513</v>
      </c>
      <c r="E21" s="783"/>
      <c r="F21" s="783"/>
      <c r="G21" s="783"/>
      <c r="H21" s="783"/>
      <c r="I21" s="783"/>
      <c r="J21" s="783"/>
      <c r="K21" s="783"/>
      <c r="L21" s="783"/>
      <c r="M21" s="783"/>
      <c r="N21" s="783"/>
      <c r="O21" s="783"/>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3"/>
      <c r="AQ21" s="783"/>
      <c r="AR21" s="783"/>
      <c r="AS21" s="783"/>
      <c r="AT21" s="783"/>
      <c r="AU21" s="783"/>
      <c r="AV21" s="783"/>
      <c r="AW21" s="783"/>
      <c r="AX21" s="783"/>
      <c r="AY21" s="783"/>
      <c r="AZ21" s="783"/>
      <c r="BB21" s="98">
        <v>3</v>
      </c>
      <c r="BC21" s="261" t="s">
        <v>410</v>
      </c>
      <c r="BD21" s="81" t="s">
        <v>453</v>
      </c>
      <c r="BE21" s="81">
        <f>F10</f>
        <v>14245.18359375</v>
      </c>
      <c r="BF21" s="81">
        <f>H10</f>
        <v>13706.201171875</v>
      </c>
      <c r="BG21" s="81">
        <f>J10</f>
        <v>18821.7421875</v>
      </c>
      <c r="BH21" s="81"/>
      <c r="BI21" s="81">
        <f>L10</f>
        <v>13259.947265625</v>
      </c>
      <c r="BJ21" s="81"/>
      <c r="BK21" s="81">
        <f>N10</f>
        <v>9421.8681640625</v>
      </c>
      <c r="BL21" s="81"/>
      <c r="BM21" s="81">
        <f>P10</f>
        <v>12560.5126953125</v>
      </c>
      <c r="BN21" s="81"/>
      <c r="BO21" s="81">
        <f>R10</f>
        <v>13767.87890625</v>
      </c>
      <c r="BP21" s="81"/>
      <c r="BQ21" s="81">
        <f>T10</f>
        <v>11350.052734375</v>
      </c>
      <c r="BR21" s="81"/>
      <c r="BS21" s="81">
        <f>V10</f>
        <v>21507.083984375</v>
      </c>
      <c r="BT21" s="81"/>
      <c r="BU21" s="81">
        <f>X10</f>
        <v>17177.798828125</v>
      </c>
      <c r="BV21" s="81"/>
      <c r="BW21" s="81">
        <f>Z10</f>
        <v>13739.103515625</v>
      </c>
      <c r="BX21" s="81"/>
      <c r="BY21" s="81">
        <f>AB10</f>
        <v>17825.33203125</v>
      </c>
      <c r="BZ21" s="81"/>
      <c r="CA21" s="81">
        <f>AD10</f>
        <v>12578.0263671875</v>
      </c>
      <c r="CB21" s="81"/>
      <c r="CC21" s="81">
        <f>AF10</f>
        <v>24061.087890625</v>
      </c>
      <c r="CD21" s="81"/>
      <c r="CE21" s="81">
        <f>AH10</f>
        <v>22208.123046875</v>
      </c>
      <c r="CF21" s="81"/>
      <c r="CG21" s="81">
        <f>AJ10</f>
        <v>11231.125</v>
      </c>
      <c r="CH21" s="81"/>
      <c r="CI21" s="81">
        <f>AL10</f>
        <v>10610.451171875</v>
      </c>
      <c r="CJ21" s="262"/>
      <c r="CK21" s="81">
        <f>AN10</f>
        <v>9890.19140625</v>
      </c>
      <c r="CL21" s="81"/>
      <c r="CM21" s="81">
        <f>AP10</f>
        <v>8237.748046875</v>
      </c>
      <c r="CN21" s="262"/>
      <c r="CO21" s="81">
        <f>AR10</f>
        <v>6223.16796875</v>
      </c>
      <c r="CP21" s="81"/>
      <c r="CQ21" s="81">
        <f>AT10</f>
        <v>14886.0830078125</v>
      </c>
      <c r="CR21" s="262"/>
      <c r="CS21" s="81">
        <f>AV10</f>
        <v>8170.201100000002</v>
      </c>
      <c r="CT21" s="81"/>
      <c r="CU21" s="81">
        <f>AX10</f>
        <v>10258.305100000005</v>
      </c>
      <c r="CV21" s="262"/>
      <c r="CW21" s="81"/>
      <c r="CX21" s="81"/>
      <c r="CY21" s="81"/>
      <c r="DA21" s="247">
        <v>84</v>
      </c>
      <c r="DB21" s="599" t="s">
        <v>224</v>
      </c>
      <c r="DC21" s="247">
        <v>39160</v>
      </c>
      <c r="DD21" s="247">
        <v>15260</v>
      </c>
      <c r="DE21" s="247">
        <v>6042</v>
      </c>
      <c r="DF21" s="247">
        <v>21730</v>
      </c>
    </row>
    <row r="22" spans="1:113" ht="14.45" customHeight="1" x14ac:dyDescent="0.2">
      <c r="A22" s="294"/>
      <c r="C22" s="292" t="s">
        <v>474</v>
      </c>
      <c r="D22" s="783" t="s">
        <v>117</v>
      </c>
      <c r="E22" s="783"/>
      <c r="F22" s="783"/>
      <c r="G22" s="783"/>
      <c r="H22" s="783"/>
      <c r="I22" s="783"/>
      <c r="J22" s="783"/>
      <c r="K22" s="783"/>
      <c r="L22" s="783"/>
      <c r="M22" s="783"/>
      <c r="N22" s="783"/>
      <c r="O22" s="783"/>
      <c r="P22" s="783"/>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3"/>
      <c r="AN22" s="783"/>
      <c r="AO22" s="783"/>
      <c r="AP22" s="783"/>
      <c r="AQ22" s="783"/>
      <c r="AR22" s="783"/>
      <c r="AS22" s="783"/>
      <c r="AT22" s="783"/>
      <c r="AU22" s="783"/>
      <c r="AV22" s="783"/>
      <c r="AW22" s="783"/>
      <c r="AX22" s="783"/>
      <c r="AY22" s="783"/>
      <c r="AZ22" s="783"/>
      <c r="BB22" s="295">
        <v>10</v>
      </c>
      <c r="BC22" s="296" t="s">
        <v>424</v>
      </c>
      <c r="BD22" s="81" t="s">
        <v>453</v>
      </c>
      <c r="BE22" s="81">
        <f>(F8-F9)</f>
        <v>14245.181640625</v>
      </c>
      <c r="BF22" s="81">
        <f>(H8-H9)</f>
        <v>13706.201171875</v>
      </c>
      <c r="BG22" s="81">
        <f>(J8-J9)</f>
        <v>18821.744140625</v>
      </c>
      <c r="BH22" s="81"/>
      <c r="BI22" s="81">
        <f>(L8-L9)</f>
        <v>13259.947265625</v>
      </c>
      <c r="BJ22" s="81"/>
      <c r="BK22" s="81">
        <f>(N8-N9)</f>
        <v>9421.869140625</v>
      </c>
      <c r="BL22" s="81"/>
      <c r="BM22" s="81">
        <f>(P8-P9)</f>
        <v>12560.51171875</v>
      </c>
      <c r="BN22" s="81"/>
      <c r="BO22" s="81">
        <f>(R8-R9)</f>
        <v>13767.87890625</v>
      </c>
      <c r="BP22" s="81"/>
      <c r="BQ22" s="81">
        <f>(T8-T9)</f>
        <v>11350.0546875</v>
      </c>
      <c r="BR22" s="81"/>
      <c r="BS22" s="81">
        <f>(V8-V9)</f>
        <v>21507.0859375</v>
      </c>
      <c r="BT22" s="81"/>
      <c r="BU22" s="81">
        <f>(X8-X9)</f>
        <v>17177.798828125</v>
      </c>
      <c r="BV22" s="81"/>
      <c r="BW22" s="81">
        <f>(Z8-Z9)</f>
        <v>13739.103515625</v>
      </c>
      <c r="BX22" s="81"/>
      <c r="BY22" s="81">
        <f>(AB8-AB9)</f>
        <v>17825.330078125</v>
      </c>
      <c r="BZ22" s="81"/>
      <c r="CA22" s="81">
        <f>(AD8-AD9)</f>
        <v>12578.025390625</v>
      </c>
      <c r="CB22" s="81"/>
      <c r="CC22" s="81">
        <f>(AF8-AF9)</f>
        <v>24061.087890625</v>
      </c>
      <c r="CD22" s="81"/>
      <c r="CE22" s="81">
        <f>(AH8-AH9)</f>
        <v>22208.12109375</v>
      </c>
      <c r="CF22" s="81"/>
      <c r="CG22" s="81">
        <f>(AJ8-AJ9)</f>
        <v>11231.125</v>
      </c>
      <c r="CH22" s="81"/>
      <c r="CI22" s="81">
        <f>(AL8-AL9)</f>
        <v>10610.451171875</v>
      </c>
      <c r="CJ22" s="262"/>
      <c r="CK22" s="81">
        <f>(AN8-AN9)</f>
        <v>9890.193359375</v>
      </c>
      <c r="CL22" s="81"/>
      <c r="CM22" s="81">
        <f>(AP8-AP9)</f>
        <v>8237.748046875</v>
      </c>
      <c r="CN22" s="262"/>
      <c r="CO22" s="81">
        <f>(AR8-AR9)</f>
        <v>6223.16796875</v>
      </c>
      <c r="CP22" s="81"/>
      <c r="CQ22" s="81">
        <f>(AT8-AT9)</f>
        <v>14886.08203125</v>
      </c>
      <c r="CR22" s="262"/>
      <c r="CS22" s="81">
        <f>(AV8-AV9)</f>
        <v>8170.201100000002</v>
      </c>
      <c r="CT22" s="81"/>
      <c r="CU22" s="81">
        <f>(AX8-AX9)</f>
        <v>10258.305100000005</v>
      </c>
      <c r="CV22" s="262"/>
      <c r="CW22" s="81"/>
      <c r="CX22" s="81"/>
      <c r="CY22" s="81"/>
      <c r="CZ22" s="297"/>
      <c r="DA22" s="247">
        <v>204</v>
      </c>
      <c r="DB22" s="599" t="s">
        <v>225</v>
      </c>
      <c r="DC22" s="247">
        <v>119200</v>
      </c>
      <c r="DD22" s="247">
        <v>10300</v>
      </c>
      <c r="DE22" s="247">
        <v>0</v>
      </c>
      <c r="DF22" s="247">
        <v>26390</v>
      </c>
      <c r="DG22" s="297"/>
      <c r="DH22" s="297"/>
      <c r="DI22" s="297"/>
    </row>
    <row r="23" spans="1:113" ht="12" customHeight="1" x14ac:dyDescent="0.2">
      <c r="A23" s="294"/>
      <c r="B23" s="294"/>
      <c r="C23" s="292" t="s">
        <v>474</v>
      </c>
      <c r="D23" s="785" t="s">
        <v>514</v>
      </c>
      <c r="E23" s="785"/>
      <c r="F23" s="785"/>
      <c r="G23" s="785"/>
      <c r="H23" s="785"/>
      <c r="I23" s="785"/>
      <c r="J23" s="785"/>
      <c r="K23" s="785"/>
      <c r="L23" s="785"/>
      <c r="M23" s="785"/>
      <c r="N23" s="785"/>
      <c r="O23" s="785"/>
      <c r="P23" s="785"/>
      <c r="Q23" s="785"/>
      <c r="R23" s="785"/>
      <c r="S23" s="785"/>
      <c r="T23" s="785"/>
      <c r="U23" s="785"/>
      <c r="V23" s="785"/>
      <c r="W23" s="785"/>
      <c r="X23" s="785"/>
      <c r="Y23" s="785"/>
      <c r="Z23" s="785"/>
      <c r="AA23" s="785"/>
      <c r="AB23" s="785"/>
      <c r="AC23" s="785"/>
      <c r="AD23" s="785"/>
      <c r="AE23" s="785"/>
      <c r="AF23" s="785"/>
      <c r="AG23" s="785"/>
      <c r="AH23" s="785"/>
      <c r="AI23" s="785"/>
      <c r="AJ23" s="785"/>
      <c r="AK23" s="785"/>
      <c r="AL23" s="785"/>
      <c r="AM23" s="785"/>
      <c r="AN23" s="785"/>
      <c r="AO23" s="785"/>
      <c r="AP23" s="785"/>
      <c r="AQ23" s="785"/>
      <c r="AR23" s="785"/>
      <c r="AS23" s="785"/>
      <c r="AT23" s="785"/>
      <c r="AU23" s="785"/>
      <c r="AV23" s="785"/>
      <c r="AW23" s="785"/>
      <c r="AX23" s="785"/>
      <c r="AY23" s="785"/>
      <c r="AZ23" s="785"/>
      <c r="BA23" s="299"/>
      <c r="BB23" s="300" t="s">
        <v>136</v>
      </c>
      <c r="BC23" s="296" t="s">
        <v>168</v>
      </c>
      <c r="BD23" s="81"/>
      <c r="BE23" s="81" t="str">
        <f>IF(OR(ISBLANK(F8),ISBLANK(F9),ISBLANK(F10)),"N/A",IF((BE21=BE22),"ok","&lt;&gt;"))</f>
        <v>&lt;&gt;</v>
      </c>
      <c r="BF23" s="81" t="str">
        <f>IF(OR(ISBLANK(H8),ISBLANK(H9),ISBLANK(H10)),"N/A",IF((BF21=BF22),"ok","&lt;&gt;"))</f>
        <v>ok</v>
      </c>
      <c r="BG23" s="81" t="str">
        <f>IF(OR(ISBLANK(P8),ISBLANK(P9),ISBLANK(P10)),"N/A",IF((BG21=BG22),"ok","&lt;&gt;"))</f>
        <v>&lt;&gt;</v>
      </c>
      <c r="BH23" s="81"/>
      <c r="BI23" s="81" t="str">
        <f>IF(OR(ISBLANK(L8),ISBLANK(L9),ISBLANK(L10)),"N/A",IF((BI21=BI22),"ok","&lt;&gt;"))</f>
        <v>ok</v>
      </c>
      <c r="BJ23" s="81"/>
      <c r="BK23" s="81" t="str">
        <f>IF(OR(ISBLANK(N8),ISBLANK(N9),ISBLANK(N10)),"N/A",IF((BK21=BK22),"ok","&lt;&gt;"))</f>
        <v>&lt;&gt;</v>
      </c>
      <c r="BL23" s="81"/>
      <c r="BM23" s="81" t="str">
        <f>IF(OR(ISBLANK(P8),ISBLANK(P9),ISBLANK(P10)),"N/A",IF((BM21=BM22),"ok","&lt;&gt;"))</f>
        <v>&lt;&gt;</v>
      </c>
      <c r="BN23" s="81"/>
      <c r="BO23" s="81" t="str">
        <f>IF(OR(ISBLANK(R8),ISBLANK(R9),ISBLANK(R10)),"N/A",IF((BO21=BO22),"ok","&lt;&gt;"))</f>
        <v>ok</v>
      </c>
      <c r="BP23" s="81"/>
      <c r="BQ23" s="81" t="str">
        <f>IF(OR(ISBLANK(T8),ISBLANK(T9),ISBLANK(T10)),"N/A",IF((BQ21=BQ22),"ok","&lt;&gt;"))</f>
        <v>&lt;&gt;</v>
      </c>
      <c r="BR23" s="81"/>
      <c r="BS23" s="81" t="str">
        <f>IF(OR(ISBLANK(V8),ISBLANK(V9),ISBLANK(V10)),"N/A",IF((BS21=BS22),"ok","&lt;&gt;"))</f>
        <v>&lt;&gt;</v>
      </c>
      <c r="BT23" s="81"/>
      <c r="BU23" s="81" t="str">
        <f>IF(OR(ISBLANK(X8),ISBLANK(X9),ISBLANK(X10)),"N/A",IF((BU21=BU22),"ok","&lt;&gt;"))</f>
        <v>ok</v>
      </c>
      <c r="BV23" s="81"/>
      <c r="BW23" s="81" t="str">
        <f>IF(OR(ISBLANK(Z8),ISBLANK(Z9),ISBLANK(Z10)),"N/A",IF((BW21=BW22),"ok","&lt;&gt;"))</f>
        <v>ok</v>
      </c>
      <c r="BX23" s="81"/>
      <c r="BY23" s="81" t="str">
        <f>IF(OR(ISBLANK(AB8),ISBLANK(AB9),ISBLANK(AB10)),"N/A",IF((BY21=BY22),"ok","&lt;&gt;"))</f>
        <v>&lt;&gt;</v>
      </c>
      <c r="BZ23" s="81"/>
      <c r="CA23" s="81" t="str">
        <f>IF(OR(ISBLANK(AD8),ISBLANK(AD9),ISBLANK(AD10)),"N/A",IF((CA21=CA22),"ok","&lt;&gt;"))</f>
        <v>&lt;&gt;</v>
      </c>
      <c r="CB23" s="81"/>
      <c r="CC23" s="81" t="str">
        <f>IF(OR(ISBLANK(AF8),ISBLANK(AF9),ISBLANK(AF10)),"N/A",IF((CC21=CC22),"ok","&lt;&gt;"))</f>
        <v>ok</v>
      </c>
      <c r="CD23" s="81"/>
      <c r="CE23" s="81" t="str">
        <f>IF(OR(ISBLANK(AH8),ISBLANK(AH9),ISBLANK(AH10)),"N/A",IF((CE21=CE22),"ok","&lt;&gt;"))</f>
        <v>&lt;&gt;</v>
      </c>
      <c r="CF23" s="81"/>
      <c r="CG23" s="81" t="str">
        <f>IF(OR(ISBLANK(AJ8),ISBLANK(AJ9),ISBLANK(AJ10)),"N/A",IF((CG21=CG22),"ok","&lt;&gt;"))</f>
        <v>ok</v>
      </c>
      <c r="CH23" s="81"/>
      <c r="CI23" s="81" t="str">
        <f>IF(OR(ISBLANK(AL8),ISBLANK(AL9),ISBLANK(AL10)),"N/A",IF((CI21=CI22),"ok","&lt;&gt;"))</f>
        <v>ok</v>
      </c>
      <c r="CJ23" s="262"/>
      <c r="CK23" s="81" t="str">
        <f>IF(OR(ISBLANK(AN8),ISBLANK(AN9),ISBLANK(AN10)),"N/A",IF((CK21=CK22),"ok","&lt;&gt;"))</f>
        <v>&lt;&gt;</v>
      </c>
      <c r="CL23" s="81"/>
      <c r="CM23" s="81" t="str">
        <f>IF(OR(ISBLANK(AP8),ISBLANK(AP9),ISBLANK(AP10)),"N/A",IF((CM21=CM22),"ok","&lt;&gt;"))</f>
        <v>ok</v>
      </c>
      <c r="CN23" s="262"/>
      <c r="CO23" s="81" t="str">
        <f>IF(OR(ISBLANK(AR8),ISBLANK(AR9),ISBLANK(AR10)),"N/A",IF((CO21=CO22),"ok","&lt;&gt;"))</f>
        <v>ok</v>
      </c>
      <c r="CP23" s="81"/>
      <c r="CQ23" s="81" t="str">
        <f>IF(OR(ISBLANK(AT8),ISBLANK(AT9),ISBLANK(AT10)),"N/A",IF((CQ21=CQ22),"ok","&lt;&gt;"))</f>
        <v>&lt;&gt;</v>
      </c>
      <c r="CR23" s="262"/>
      <c r="CS23" s="81" t="str">
        <f>IF(OR(ISBLANK(AV8),ISBLANK(AV9),ISBLANK(AV10)),"N/A",IF((CS21=CS22),"ok","&lt;&gt;"))</f>
        <v>ok</v>
      </c>
      <c r="CT23" s="81"/>
      <c r="CU23" s="81" t="str">
        <f>IF(OR(ISBLANK(AX8),ISBLANK(AX9),ISBLANK(AX10)),"N/A",IF((CU21=CU22),"ok","&lt;&gt;"))</f>
        <v>ok</v>
      </c>
      <c r="CV23" s="262"/>
      <c r="CW23" s="81"/>
      <c r="CX23" s="81"/>
      <c r="CY23" s="81"/>
      <c r="CZ23" s="297"/>
      <c r="DA23" s="247">
        <v>60</v>
      </c>
      <c r="DB23" s="599" t="s">
        <v>226</v>
      </c>
      <c r="DC23" s="247"/>
      <c r="DD23" s="247"/>
      <c r="DE23" s="247"/>
      <c r="DF23" s="247"/>
      <c r="DG23" s="297"/>
      <c r="DH23" s="297"/>
      <c r="DI23" s="297"/>
    </row>
    <row r="24" spans="1:113" ht="22.5" customHeight="1" x14ac:dyDescent="0.2">
      <c r="A24" s="294"/>
      <c r="B24" s="294"/>
      <c r="C24" s="292" t="s">
        <v>474</v>
      </c>
      <c r="D24" s="783" t="s">
        <v>118</v>
      </c>
      <c r="E24" s="783"/>
      <c r="F24" s="783"/>
      <c r="G24" s="783"/>
      <c r="H24" s="783"/>
      <c r="I24" s="783"/>
      <c r="J24" s="783"/>
      <c r="K24" s="783"/>
      <c r="L24" s="783"/>
      <c r="M24" s="783"/>
      <c r="N24" s="783"/>
      <c r="O24" s="783"/>
      <c r="P24" s="783"/>
      <c r="Q24" s="783"/>
      <c r="R24" s="783"/>
      <c r="S24" s="783"/>
      <c r="T24" s="783"/>
      <c r="U24" s="783"/>
      <c r="V24" s="783"/>
      <c r="W24" s="783"/>
      <c r="X24" s="783"/>
      <c r="Y24" s="783"/>
      <c r="Z24" s="783"/>
      <c r="AA24" s="783"/>
      <c r="AB24" s="783"/>
      <c r="AC24" s="783"/>
      <c r="AD24" s="783"/>
      <c r="AE24" s="783"/>
      <c r="AF24" s="783"/>
      <c r="AG24" s="783"/>
      <c r="AH24" s="783"/>
      <c r="AI24" s="783"/>
      <c r="AJ24" s="783"/>
      <c r="AK24" s="783"/>
      <c r="AL24" s="783"/>
      <c r="AM24" s="783"/>
      <c r="AN24" s="783"/>
      <c r="AO24" s="783"/>
      <c r="AP24" s="783"/>
      <c r="AQ24" s="783"/>
      <c r="AR24" s="783"/>
      <c r="AS24" s="783"/>
      <c r="AT24" s="783"/>
      <c r="AU24" s="783"/>
      <c r="AV24" s="783"/>
      <c r="AW24" s="783"/>
      <c r="AX24" s="783"/>
      <c r="AY24" s="783"/>
      <c r="AZ24" s="783"/>
      <c r="BA24" s="301"/>
      <c r="BB24" s="98">
        <v>5</v>
      </c>
      <c r="BC24" s="270" t="s">
        <v>409</v>
      </c>
      <c r="BD24" s="81" t="s">
        <v>453</v>
      </c>
      <c r="BE24" s="81">
        <f>F12</f>
        <v>21145.07421875</v>
      </c>
      <c r="BF24" s="81">
        <f>H12</f>
        <v>22135.8125</v>
      </c>
      <c r="BG24" s="81">
        <f>P12</f>
        <v>17682.546875</v>
      </c>
      <c r="BH24" s="81"/>
      <c r="BI24" s="81">
        <f>L12</f>
        <v>20232.388671875</v>
      </c>
      <c r="BJ24" s="81"/>
      <c r="BK24" s="81">
        <f>N12</f>
        <v>14438.865234375</v>
      </c>
      <c r="BL24" s="81"/>
      <c r="BM24" s="81">
        <f>P12</f>
        <v>17682.546875</v>
      </c>
      <c r="BN24" s="81"/>
      <c r="BO24" s="81">
        <f>R12</f>
        <v>19636.150390625</v>
      </c>
      <c r="BP24" s="81"/>
      <c r="BQ24" s="81">
        <f>T12</f>
        <v>16391.21484375</v>
      </c>
      <c r="BR24" s="81"/>
      <c r="BS24" s="81">
        <f>V12</f>
        <v>30382</v>
      </c>
      <c r="BT24" s="81"/>
      <c r="BU24" s="81">
        <f>X12</f>
        <v>25880.376953125</v>
      </c>
      <c r="BV24" s="81"/>
      <c r="BW24" s="81">
        <f>Z12</f>
        <v>21721.240234375</v>
      </c>
      <c r="BX24" s="81"/>
      <c r="BY24" s="81">
        <f>AB12</f>
        <v>27126.435546875</v>
      </c>
      <c r="BZ24" s="81"/>
      <c r="CA24" s="81">
        <f>AD12</f>
        <v>18489.18359375</v>
      </c>
      <c r="CB24" s="81"/>
      <c r="CC24" s="81">
        <f>AF12</f>
        <v>34266.203125</v>
      </c>
      <c r="CD24" s="81"/>
      <c r="CE24" s="81">
        <f>AH12</f>
        <v>32152.482421875</v>
      </c>
      <c r="CF24" s="81"/>
      <c r="CG24" s="81">
        <f>AJ12</f>
        <v>17853.849609375</v>
      </c>
      <c r="CH24" s="81"/>
      <c r="CI24" s="81">
        <f>AL12</f>
        <v>15364.6982421875</v>
      </c>
      <c r="CJ24" s="302"/>
      <c r="CK24" s="81">
        <f>AN12</f>
        <v>15398.412109375</v>
      </c>
      <c r="CL24" s="81"/>
      <c r="CM24" s="81">
        <f>AP12</f>
        <v>13376.6455078125</v>
      </c>
      <c r="CN24" s="302"/>
      <c r="CO24" s="81">
        <f>AR12</f>
        <v>10623.572265625</v>
      </c>
      <c r="CP24" s="81"/>
      <c r="CQ24" s="81">
        <f>AT12</f>
        <v>24677</v>
      </c>
      <c r="CR24" s="302"/>
      <c r="CS24" s="81">
        <f>AV12</f>
        <v>14618.103690000002</v>
      </c>
      <c r="CT24" s="81"/>
      <c r="CU24" s="81">
        <f>AX12</f>
        <v>16387.014100000004</v>
      </c>
      <c r="CV24" s="302"/>
      <c r="CW24" s="81"/>
      <c r="CX24" s="81"/>
      <c r="CY24" s="81"/>
      <c r="CZ24" s="297"/>
      <c r="DA24" s="247">
        <v>64</v>
      </c>
      <c r="DB24" s="599" t="s">
        <v>227</v>
      </c>
      <c r="DC24" s="247">
        <v>84460</v>
      </c>
      <c r="DD24" s="247">
        <v>78000</v>
      </c>
      <c r="DE24" s="247">
        <v>0</v>
      </c>
      <c r="DF24" s="247">
        <v>78000</v>
      </c>
      <c r="DG24" s="297"/>
      <c r="DH24" s="297"/>
      <c r="DI24" s="297"/>
    </row>
    <row r="25" spans="1:113" ht="11.45" customHeight="1" x14ac:dyDescent="0.2">
      <c r="A25" s="294"/>
      <c r="B25" s="294"/>
      <c r="C25" s="292"/>
      <c r="D25" s="786"/>
      <c r="E25" s="785"/>
      <c r="F25" s="785"/>
      <c r="G25" s="785"/>
      <c r="H25" s="785"/>
      <c r="I25" s="785"/>
      <c r="J25" s="785"/>
      <c r="K25" s="785"/>
      <c r="L25" s="785"/>
      <c r="M25" s="785"/>
      <c r="N25" s="785"/>
      <c r="O25" s="785"/>
      <c r="P25" s="785"/>
      <c r="Q25" s="785"/>
      <c r="R25" s="785"/>
      <c r="S25" s="785"/>
      <c r="T25" s="785"/>
      <c r="U25" s="785"/>
      <c r="V25" s="785"/>
      <c r="W25" s="785"/>
      <c r="X25" s="785"/>
      <c r="Y25" s="785"/>
      <c r="Z25" s="785"/>
      <c r="AA25" s="785"/>
      <c r="AB25" s="785"/>
      <c r="AC25" s="785"/>
      <c r="AD25" s="785"/>
      <c r="AE25" s="785"/>
      <c r="AF25" s="785"/>
      <c r="AG25" s="785"/>
      <c r="AH25" s="785"/>
      <c r="AI25" s="785"/>
      <c r="AJ25" s="785"/>
      <c r="AK25" s="785"/>
      <c r="AL25" s="785"/>
      <c r="AM25" s="785"/>
      <c r="AN25" s="785"/>
      <c r="AO25" s="785"/>
      <c r="AP25" s="785"/>
      <c r="AQ25" s="785"/>
      <c r="AR25" s="785"/>
      <c r="AS25" s="785"/>
      <c r="AT25" s="785"/>
      <c r="AU25" s="785"/>
      <c r="AV25" s="785"/>
      <c r="AW25" s="785"/>
      <c r="AX25" s="785"/>
      <c r="AY25" s="785"/>
      <c r="AZ25" s="785"/>
      <c r="BA25" s="299"/>
      <c r="BB25" s="295">
        <v>11</v>
      </c>
      <c r="BC25" s="296" t="s">
        <v>425</v>
      </c>
      <c r="BD25" s="81" t="s">
        <v>453</v>
      </c>
      <c r="BE25" s="81">
        <f>F10+F11</f>
        <v>21145.0751953125</v>
      </c>
      <c r="BF25" s="81">
        <f>H10+H11</f>
        <v>22135.8125</v>
      </c>
      <c r="BG25" s="81">
        <f>P10+P11</f>
        <v>17682.546875</v>
      </c>
      <c r="BH25" s="81"/>
      <c r="BI25" s="81">
        <f>L10+L11</f>
        <v>20232.3876953125</v>
      </c>
      <c r="BJ25" s="81"/>
      <c r="BK25" s="81">
        <f>N10+N11</f>
        <v>14438.865234375</v>
      </c>
      <c r="BL25" s="81"/>
      <c r="BM25" s="81">
        <f>P10+P11</f>
        <v>17682.546875</v>
      </c>
      <c r="BN25" s="82"/>
      <c r="BO25" s="81">
        <f>R10+R11</f>
        <v>19636.14990234375</v>
      </c>
      <c r="BP25" s="81"/>
      <c r="BQ25" s="81">
        <f>T10+T11</f>
        <v>16391.21484375</v>
      </c>
      <c r="BR25" s="81"/>
      <c r="BS25" s="81">
        <f>V10+V11</f>
        <v>30381.9990234375</v>
      </c>
      <c r="BT25" s="81"/>
      <c r="BU25" s="81">
        <f>X10+X11</f>
        <v>25880.375</v>
      </c>
      <c r="BV25" s="81"/>
      <c r="BW25" s="81">
        <f>Z10+Z11</f>
        <v>21721.24169921875</v>
      </c>
      <c r="BX25" s="81"/>
      <c r="BY25" s="81">
        <f>AB10+AB11</f>
        <v>27126.4365234375</v>
      </c>
      <c r="BZ25" s="81"/>
      <c r="CA25" s="81">
        <f>AD10+AD11</f>
        <v>18489.18310546875</v>
      </c>
      <c r="CB25" s="81"/>
      <c r="CC25" s="81">
        <f>AF10+AF11</f>
        <v>34266.2041015625</v>
      </c>
      <c r="CD25" s="81"/>
      <c r="CE25" s="81">
        <f>AH10+AH11</f>
        <v>32152.4833984375</v>
      </c>
      <c r="CF25" s="81"/>
      <c r="CG25" s="81">
        <f>AJ10+AJ11</f>
        <v>17853.85009765625</v>
      </c>
      <c r="CH25" s="81"/>
      <c r="CI25" s="81">
        <f>AL10+AL11</f>
        <v>15364.69775390625</v>
      </c>
      <c r="CJ25" s="81"/>
      <c r="CK25" s="81">
        <f>AN10+AN11</f>
        <v>15398.41259765625</v>
      </c>
      <c r="CL25" s="81"/>
      <c r="CM25" s="81">
        <f>AP10+AP11</f>
        <v>13376.6455078125</v>
      </c>
      <c r="CN25" s="81"/>
      <c r="CO25" s="81">
        <f>AR10+AR11</f>
        <v>10623.572265625</v>
      </c>
      <c r="CP25" s="81"/>
      <c r="CQ25" s="81">
        <f>AT10+AT11</f>
        <v>24677.0009765625</v>
      </c>
      <c r="CR25" s="81"/>
      <c r="CS25" s="81">
        <f>AV10+AV11</f>
        <v>14618.103690000002</v>
      </c>
      <c r="CT25" s="81"/>
      <c r="CU25" s="81">
        <f>AX10+AX11</f>
        <v>16387.014100000004</v>
      </c>
      <c r="CV25" s="81"/>
      <c r="CW25" s="81"/>
      <c r="CX25" s="81"/>
      <c r="CY25" s="81"/>
      <c r="CZ25" s="297"/>
      <c r="DA25" s="247">
        <v>68</v>
      </c>
      <c r="DB25" s="599" t="s">
        <v>93</v>
      </c>
      <c r="DC25" s="247">
        <v>1259000</v>
      </c>
      <c r="DD25" s="247">
        <v>303500</v>
      </c>
      <c r="DE25" s="247">
        <v>259000</v>
      </c>
      <c r="DF25" s="247">
        <v>574000</v>
      </c>
      <c r="DG25" s="297"/>
      <c r="DH25" s="297"/>
      <c r="DI25" s="297"/>
    </row>
    <row r="26" spans="1:113" ht="28.35" customHeight="1" x14ac:dyDescent="0.2">
      <c r="A26" s="294"/>
      <c r="B26" s="294"/>
      <c r="C26" s="292"/>
      <c r="D26" s="303"/>
      <c r="E26" s="303"/>
      <c r="F26" s="767" t="str">
        <f>D8&amp;" (W1, 1)"</f>
        <v>Precipitación                              (W1, 1)</v>
      </c>
      <c r="G26" s="768"/>
      <c r="H26" s="768"/>
      <c r="I26" s="769"/>
      <c r="J26" s="306"/>
      <c r="K26" s="306"/>
      <c r="L26" s="306"/>
      <c r="M26" s="767" t="str">
        <f>D9&amp;
"(W1, 2)"</f>
        <v>Evapotranspiración real(W1, 2)</v>
      </c>
      <c r="N26" s="777"/>
      <c r="O26" s="777"/>
      <c r="P26" s="777"/>
      <c r="Q26" s="778"/>
      <c r="R26" s="304"/>
      <c r="S26" s="306"/>
      <c r="T26" s="306"/>
      <c r="U26" s="306"/>
      <c r="V26" s="306"/>
      <c r="W26" s="306"/>
      <c r="X26" s="306"/>
      <c r="Y26" s="306"/>
      <c r="Z26" s="306"/>
      <c r="AA26" s="305"/>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299"/>
      <c r="BB26" s="300" t="s">
        <v>136</v>
      </c>
      <c r="BC26" s="296" t="s">
        <v>169</v>
      </c>
      <c r="BD26" s="81"/>
      <c r="BE26" s="81" t="str">
        <f>IF(OR(ISBLANK(F10),ISBLANK(F11)),"N/A",IF((BE24=BE25),"ok","&lt;&gt;"))</f>
        <v>&lt;&gt;</v>
      </c>
      <c r="BF26" s="81" t="str">
        <f>IF(OR(ISBLANK(H10),ISBLANK(H11)),"N/A",IF((BF24=BF25),"ok","&lt;&gt;"))</f>
        <v>ok</v>
      </c>
      <c r="BG26" s="81" t="str">
        <f>IF(OR(ISBLANK(P10),ISBLANK(P11)),"N/A",IF((BG24=BG25),"ok","&lt;&gt;"))</f>
        <v>ok</v>
      </c>
      <c r="BH26" s="81"/>
      <c r="BI26" s="81" t="str">
        <f>IF(OR(ISBLANK(L10),ISBLANK(L11)),"N/A",IF((BI24=BI25),"ok","&lt;&gt;"))</f>
        <v>&lt;&gt;</v>
      </c>
      <c r="BJ26" s="81"/>
      <c r="BK26" s="81" t="str">
        <f>IF(OR(ISBLANK(N10),ISBLANK(N11)),"N/A",IF((BK24=BK25),"ok","&lt;&gt;"))</f>
        <v>ok</v>
      </c>
      <c r="BL26" s="81"/>
      <c r="BM26" s="81" t="str">
        <f>IF(OR(ISBLANK(P10),ISBLANK(P11)),"N/A",IF((BM24=BM25),"ok","&lt;&gt;"))</f>
        <v>ok</v>
      </c>
      <c r="BN26" s="81"/>
      <c r="BO26" s="81" t="str">
        <f>IF(OR(ISBLANK(R10),ISBLANK(R11)),"N/A",IF((BO24=BO25),"ok","&lt;&gt;"))</f>
        <v>&lt;&gt;</v>
      </c>
      <c r="BP26" s="81"/>
      <c r="BQ26" s="81" t="str">
        <f>IF(OR(ISBLANK(T10),ISBLANK(T11)),"N/A",IF((BQ24=BQ25),"ok","&lt;&gt;"))</f>
        <v>ok</v>
      </c>
      <c r="BR26" s="81"/>
      <c r="BS26" s="81" t="str">
        <f>IF(OR(ISBLANK(V10),ISBLANK(V11)),"N/A",IF((BS24=BS25),"ok","&lt;&gt;"))</f>
        <v>&lt;&gt;</v>
      </c>
      <c r="BT26" s="81"/>
      <c r="BU26" s="81" t="str">
        <f>IF(OR(ISBLANK(X10),ISBLANK(X11)),"N/A",IF((BU24=BU25),"ok","&lt;&gt;"))</f>
        <v>&lt;&gt;</v>
      </c>
      <c r="BV26" s="81"/>
      <c r="BW26" s="81" t="str">
        <f>IF(OR(ISBLANK(Z10),ISBLANK(Z11)),"N/A",IF((BW24=BW25),"ok","&lt;&gt;"))</f>
        <v>&lt;&gt;</v>
      </c>
      <c r="BX26" s="81"/>
      <c r="BY26" s="81" t="str">
        <f>IF(OR(ISBLANK(AB10),ISBLANK(AB11)),"N/A",IF((BY24=BY25),"ok","&lt;&gt;"))</f>
        <v>&lt;&gt;</v>
      </c>
      <c r="BZ26" s="81"/>
      <c r="CA26" s="81" t="str">
        <f>IF(OR(ISBLANK(AD10),ISBLANK(AD11)),"N/A",IF((CA24=CA25),"ok","&lt;&gt;"))</f>
        <v>&lt;&gt;</v>
      </c>
      <c r="CB26" s="81"/>
      <c r="CC26" s="81" t="str">
        <f>IF(OR(ISBLANK(AF10),ISBLANK(AF11)),"N/A",IF((CC24=CC25),"ok","&lt;&gt;"))</f>
        <v>&lt;&gt;</v>
      </c>
      <c r="CD26" s="81"/>
      <c r="CE26" s="81" t="str">
        <f>IF(OR(ISBLANK(AH10),ISBLANK(AH11)),"N/A",IF((CE24=CE25),"ok","&lt;&gt;"))</f>
        <v>&lt;&gt;</v>
      </c>
      <c r="CF26" s="81"/>
      <c r="CG26" s="81" t="str">
        <f>IF(OR(ISBLANK(AJ10),ISBLANK(AJ11)),"N/A",IF((CG24=CG25),"ok","&lt;&gt;"))</f>
        <v>&lt;&gt;</v>
      </c>
      <c r="CH26" s="81"/>
      <c r="CI26" s="81" t="str">
        <f>IF(OR(ISBLANK(AL10),ISBLANK(AL11)),"N/A",IF((CI24=CI25),"ok","&lt;&gt;"))</f>
        <v>&lt;&gt;</v>
      </c>
      <c r="CJ26" s="81"/>
      <c r="CK26" s="81" t="str">
        <f>IF(OR(ISBLANK(AN10),ISBLANK(AN11)),"N/A",IF((CK24=CK25),"ok","&lt;&gt;"))</f>
        <v>&lt;&gt;</v>
      </c>
      <c r="CL26" s="81"/>
      <c r="CM26" s="81" t="str">
        <f>IF(OR(ISBLANK(AP10),ISBLANK(AP11)),"N/A",IF((CM24=CM25),"ok","&lt;&gt;"))</f>
        <v>ok</v>
      </c>
      <c r="CN26" s="81"/>
      <c r="CO26" s="81" t="str">
        <f>IF(OR(ISBLANK(AR10),ISBLANK(AR11)),"N/A",IF((CO24=CO25),"ok","&lt;&gt;"))</f>
        <v>ok</v>
      </c>
      <c r="CP26" s="81"/>
      <c r="CQ26" s="81" t="str">
        <f>IF(OR(ISBLANK(AT10),ISBLANK(AT11)),"N/A",IF((CQ24=CQ25),"ok","&lt;&gt;"))</f>
        <v>&lt;&gt;</v>
      </c>
      <c r="CR26" s="81"/>
      <c r="CS26" s="81" t="str">
        <f>IF(OR(ISBLANK(AV10),ISBLANK(AV11)),"N/A",IF((CS24=CS25),"ok","&lt;&gt;"))</f>
        <v>ok</v>
      </c>
      <c r="CT26" s="81"/>
      <c r="CU26" s="81" t="str">
        <f>IF(OR(ISBLANK(AX10),ISBLANK(AX11)),"N/A",IF((CU24=CU25),"ok","&lt;&gt;"))</f>
        <v>ok</v>
      </c>
      <c r="CV26" s="81"/>
      <c r="CW26" s="81"/>
      <c r="CX26" s="81"/>
      <c r="CY26" s="81"/>
      <c r="CZ26" s="297"/>
      <c r="DA26" s="247">
        <v>70</v>
      </c>
      <c r="DB26" s="599" t="s">
        <v>228</v>
      </c>
      <c r="DC26" s="247">
        <v>52640</v>
      </c>
      <c r="DD26" s="247">
        <v>35500</v>
      </c>
      <c r="DE26" s="247">
        <v>2000</v>
      </c>
      <c r="DF26" s="247">
        <v>37500</v>
      </c>
      <c r="DG26" s="297"/>
      <c r="DH26" s="297"/>
      <c r="DI26" s="297"/>
    </row>
    <row r="27" spans="1:113" ht="22.5" customHeight="1" x14ac:dyDescent="0.2">
      <c r="A27" s="294"/>
      <c r="B27" s="294"/>
      <c r="F27" s="308"/>
      <c r="G27" s="308"/>
      <c r="H27" s="306"/>
      <c r="I27" s="306"/>
      <c r="J27" s="306"/>
      <c r="K27" s="306"/>
      <c r="L27" s="306"/>
      <c r="M27" s="306"/>
      <c r="N27" s="306"/>
      <c r="O27" s="306"/>
      <c r="P27" s="306"/>
      <c r="Q27" s="306"/>
      <c r="R27" s="306"/>
      <c r="S27" s="306"/>
      <c r="T27" s="306"/>
      <c r="U27" s="306"/>
      <c r="V27" s="306"/>
      <c r="W27" s="306"/>
      <c r="X27" s="306"/>
      <c r="Y27" s="306"/>
      <c r="Z27" s="306"/>
      <c r="AA27" s="306"/>
      <c r="AB27" s="304"/>
      <c r="AC27" s="304"/>
      <c r="AD27" s="304"/>
      <c r="AE27" s="304"/>
      <c r="AF27" s="308"/>
      <c r="AG27" s="308"/>
      <c r="AH27" s="308"/>
      <c r="AI27" s="308"/>
      <c r="AJ27" s="304"/>
      <c r="AK27" s="593"/>
      <c r="AL27" s="593"/>
      <c r="AM27" s="593"/>
      <c r="AN27" s="593"/>
      <c r="AO27" s="308"/>
      <c r="AP27" s="308"/>
      <c r="AQ27" s="308"/>
      <c r="AR27" s="308"/>
      <c r="AS27" s="308"/>
      <c r="AT27" s="308"/>
      <c r="AU27" s="308"/>
      <c r="AV27" s="308"/>
      <c r="AW27" s="308"/>
      <c r="AX27" s="308"/>
      <c r="AY27" s="308"/>
      <c r="AZ27" s="303"/>
      <c r="BA27" s="299"/>
      <c r="BB27" s="98">
        <v>1</v>
      </c>
      <c r="BC27" s="307" t="s">
        <v>452</v>
      </c>
      <c r="BD27" s="98" t="s">
        <v>453</v>
      </c>
      <c r="BE27" s="81">
        <f>F8</f>
        <v>36192.27734375</v>
      </c>
      <c r="BF27" s="82" t="s">
        <v>457</v>
      </c>
      <c r="BG27" s="81" t="s">
        <v>457</v>
      </c>
      <c r="BH27" s="82"/>
      <c r="BI27" s="81" t="s">
        <v>457</v>
      </c>
      <c r="BJ27" s="82"/>
      <c r="BK27" s="81" t="s">
        <v>457</v>
      </c>
      <c r="BL27" s="82"/>
      <c r="BM27" s="81" t="s">
        <v>457</v>
      </c>
      <c r="BN27" s="82"/>
      <c r="BO27" s="81" t="s">
        <v>457</v>
      </c>
      <c r="BP27" s="82"/>
      <c r="BQ27" s="81" t="s">
        <v>457</v>
      </c>
      <c r="BR27" s="82"/>
      <c r="BS27" s="81" t="s">
        <v>457</v>
      </c>
      <c r="BT27" s="82"/>
      <c r="BU27" s="81" t="s">
        <v>457</v>
      </c>
      <c r="BV27" s="81"/>
      <c r="BW27" s="81" t="s">
        <v>457</v>
      </c>
      <c r="BX27" s="82"/>
      <c r="BY27" s="81" t="s">
        <v>457</v>
      </c>
      <c r="BZ27" s="82"/>
      <c r="CA27" s="81" t="s">
        <v>457</v>
      </c>
      <c r="CB27" s="82"/>
      <c r="CC27" s="81" t="s">
        <v>457</v>
      </c>
      <c r="CD27" s="82"/>
      <c r="CE27" s="81" t="s">
        <v>457</v>
      </c>
      <c r="CF27" s="302"/>
      <c r="CG27" s="81" t="s">
        <v>457</v>
      </c>
      <c r="CH27" s="302"/>
      <c r="CI27" s="81" t="s">
        <v>457</v>
      </c>
      <c r="CJ27" s="302"/>
      <c r="CK27" s="81" t="s">
        <v>457</v>
      </c>
      <c r="CL27" s="302"/>
      <c r="CM27" s="81" t="s">
        <v>457</v>
      </c>
      <c r="CN27" s="302"/>
      <c r="CO27" s="81" t="s">
        <v>457</v>
      </c>
      <c r="CP27" s="302"/>
      <c r="CQ27" s="81" t="s">
        <v>457</v>
      </c>
      <c r="CR27" s="302"/>
      <c r="CS27" s="81" t="s">
        <v>457</v>
      </c>
      <c r="CT27" s="302"/>
      <c r="CU27" s="81" t="s">
        <v>457</v>
      </c>
      <c r="CV27" s="302"/>
      <c r="CW27" s="81"/>
      <c r="CX27" s="302"/>
      <c r="CY27" s="81"/>
      <c r="CZ27" s="297"/>
      <c r="DA27" s="247">
        <v>72</v>
      </c>
      <c r="DB27" s="599" t="s">
        <v>229</v>
      </c>
      <c r="DC27" s="247">
        <v>242000</v>
      </c>
      <c r="DD27" s="247">
        <v>2400</v>
      </c>
      <c r="DE27" s="247">
        <v>9040</v>
      </c>
      <c r="DF27" s="247">
        <v>12240</v>
      </c>
      <c r="DG27" s="297"/>
      <c r="DH27" s="297"/>
      <c r="DI27" s="297"/>
    </row>
    <row r="28" spans="1:113" ht="14.25" customHeight="1" x14ac:dyDescent="0.2">
      <c r="A28" s="294"/>
      <c r="B28" s="294"/>
      <c r="C28" s="292"/>
      <c r="D28" s="303"/>
      <c r="E28" s="303"/>
      <c r="F28" s="309"/>
      <c r="G28" s="304"/>
      <c r="H28" s="767" t="str">
        <f>LEFT(D10,LEN(D10)-7)&amp;" (W1, 3)"</f>
        <v>Flujo interno (W1, 3)</v>
      </c>
      <c r="I28" s="795"/>
      <c r="J28" s="795"/>
      <c r="K28" s="795"/>
      <c r="L28" s="795"/>
      <c r="M28" s="795"/>
      <c r="N28" s="795"/>
      <c r="O28" s="796"/>
      <c r="P28" s="305"/>
      <c r="Q28" s="305"/>
      <c r="R28" s="305"/>
      <c r="S28" s="305"/>
      <c r="T28" s="305"/>
      <c r="U28" s="305"/>
      <c r="V28" s="305"/>
      <c r="W28" s="305"/>
      <c r="X28" s="305"/>
      <c r="Y28" s="305"/>
      <c r="Z28" s="305"/>
      <c r="AA28" s="305"/>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3"/>
      <c r="BA28" s="299"/>
      <c r="BB28" s="295">
        <v>12</v>
      </c>
      <c r="BC28" s="296" t="s">
        <v>434</v>
      </c>
      <c r="BD28" s="81" t="s">
        <v>453</v>
      </c>
      <c r="BE28" s="81">
        <f>VLOOKUP(B3,DA7:DF183,3,FALSE)</f>
        <v>37540</v>
      </c>
      <c r="BF28" s="81" t="s">
        <v>457</v>
      </c>
      <c r="BG28" s="81" t="s">
        <v>457</v>
      </c>
      <c r="BH28" s="81"/>
      <c r="BI28" s="81" t="s">
        <v>457</v>
      </c>
      <c r="BJ28" s="82"/>
      <c r="BK28" s="81" t="s">
        <v>457</v>
      </c>
      <c r="BL28" s="82"/>
      <c r="BM28" s="81" t="s">
        <v>457</v>
      </c>
      <c r="BN28" s="82"/>
      <c r="BO28" s="81" t="s">
        <v>457</v>
      </c>
      <c r="BP28" s="82"/>
      <c r="BQ28" s="81" t="s">
        <v>457</v>
      </c>
      <c r="BR28" s="82"/>
      <c r="BS28" s="81" t="s">
        <v>457</v>
      </c>
      <c r="BT28" s="82"/>
      <c r="BU28" s="81" t="s">
        <v>457</v>
      </c>
      <c r="BV28" s="81"/>
      <c r="BW28" s="81" t="s">
        <v>457</v>
      </c>
      <c r="BX28" s="82"/>
      <c r="BY28" s="81" t="s">
        <v>457</v>
      </c>
      <c r="BZ28" s="82"/>
      <c r="CA28" s="81" t="s">
        <v>457</v>
      </c>
      <c r="CB28" s="82"/>
      <c r="CC28" s="81" t="s">
        <v>457</v>
      </c>
      <c r="CD28" s="82"/>
      <c r="CE28" s="81" t="s">
        <v>457</v>
      </c>
      <c r="CF28" s="302"/>
      <c r="CG28" s="81" t="s">
        <v>457</v>
      </c>
      <c r="CH28" s="302"/>
      <c r="CI28" s="81" t="s">
        <v>457</v>
      </c>
      <c r="CJ28" s="302"/>
      <c r="CK28" s="81" t="s">
        <v>457</v>
      </c>
      <c r="CL28" s="302"/>
      <c r="CM28" s="81" t="s">
        <v>457</v>
      </c>
      <c r="CN28" s="302"/>
      <c r="CO28" s="81" t="s">
        <v>457</v>
      </c>
      <c r="CP28" s="302"/>
      <c r="CQ28" s="81" t="s">
        <v>457</v>
      </c>
      <c r="CR28" s="302"/>
      <c r="CS28" s="81" t="s">
        <v>457</v>
      </c>
      <c r="CT28" s="302"/>
      <c r="CU28" s="81" t="s">
        <v>457</v>
      </c>
      <c r="CV28" s="302"/>
      <c r="CW28" s="81"/>
      <c r="CX28" s="302"/>
      <c r="CY28" s="81"/>
      <c r="CZ28" s="297"/>
      <c r="DA28" s="247">
        <v>76</v>
      </c>
      <c r="DB28" s="599" t="s">
        <v>230</v>
      </c>
      <c r="DC28" s="247">
        <v>14995000</v>
      </c>
      <c r="DD28" s="247">
        <v>5661000</v>
      </c>
      <c r="DE28" s="247">
        <v>2986000</v>
      </c>
      <c r="DF28" s="247">
        <v>8647000</v>
      </c>
      <c r="DG28" s="297"/>
      <c r="DH28" s="297"/>
      <c r="DI28" s="297"/>
    </row>
    <row r="29" spans="1:113" ht="33.75" customHeight="1" x14ac:dyDescent="0.2">
      <c r="A29" s="294"/>
      <c r="B29" s="294"/>
      <c r="C29" s="292"/>
      <c r="D29" s="303"/>
      <c r="F29" s="308"/>
      <c r="G29" s="308"/>
      <c r="H29" s="306"/>
      <c r="I29" s="306"/>
      <c r="J29" s="306"/>
      <c r="K29" s="306"/>
      <c r="L29" s="306"/>
      <c r="M29" s="306"/>
      <c r="N29" s="306"/>
      <c r="O29" s="306"/>
      <c r="P29" s="306"/>
      <c r="Q29" s="306"/>
      <c r="R29" s="306"/>
      <c r="S29" s="306"/>
      <c r="T29" s="306"/>
      <c r="U29" s="306"/>
      <c r="V29" s="767" t="str">
        <f>D13&amp; " (W1, 6)"</f>
        <v>Caudal de salida de aguas superficiales y subterráneas hacia países vecinos (W1, 6)</v>
      </c>
      <c r="W29" s="768"/>
      <c r="X29" s="768"/>
      <c r="Y29" s="768"/>
      <c r="Z29" s="768"/>
      <c r="AA29" s="769"/>
      <c r="AB29" s="304"/>
      <c r="AC29" s="308"/>
      <c r="AD29" s="304"/>
      <c r="AE29" s="316"/>
      <c r="AF29" s="316"/>
      <c r="AG29" s="316"/>
      <c r="AH29" s="316"/>
      <c r="AI29" s="316"/>
      <c r="AJ29" s="316"/>
      <c r="AK29" s="316"/>
      <c r="AL29" s="316"/>
      <c r="AM29" s="308"/>
      <c r="AN29" s="308"/>
      <c r="AO29" s="308"/>
      <c r="AP29" s="308"/>
      <c r="AQ29" s="308"/>
      <c r="AR29" s="308"/>
      <c r="AS29" s="308"/>
      <c r="AT29" s="218"/>
      <c r="AU29" s="592"/>
      <c r="AV29" s="592"/>
      <c r="AW29" s="592"/>
      <c r="AX29" s="218"/>
      <c r="AY29" s="592"/>
      <c r="AZ29" s="303"/>
      <c r="BA29" s="299"/>
      <c r="BB29" s="300" t="s">
        <v>136</v>
      </c>
      <c r="BC29" s="310" t="s">
        <v>170</v>
      </c>
      <c r="BD29" s="81" t="s">
        <v>453</v>
      </c>
      <c r="BE29" s="81">
        <f>ABS(BE27-BE28)</f>
        <v>1347.72265625</v>
      </c>
      <c r="BF29" s="82" t="s">
        <v>457</v>
      </c>
      <c r="BG29" s="81" t="s">
        <v>457</v>
      </c>
      <c r="BH29" s="82"/>
      <c r="BI29" s="81" t="s">
        <v>457</v>
      </c>
      <c r="BJ29" s="82"/>
      <c r="BK29" s="81" t="s">
        <v>457</v>
      </c>
      <c r="BL29" s="82"/>
      <c r="BM29" s="81" t="s">
        <v>457</v>
      </c>
      <c r="BN29" s="82"/>
      <c r="BO29" s="81" t="s">
        <v>457</v>
      </c>
      <c r="BP29" s="82"/>
      <c r="BQ29" s="81" t="s">
        <v>457</v>
      </c>
      <c r="BR29" s="82"/>
      <c r="BS29" s="81" t="s">
        <v>457</v>
      </c>
      <c r="BT29" s="82"/>
      <c r="BU29" s="81" t="s">
        <v>457</v>
      </c>
      <c r="BV29" s="81"/>
      <c r="BW29" s="81" t="s">
        <v>457</v>
      </c>
      <c r="BX29" s="82"/>
      <c r="BY29" s="81" t="s">
        <v>457</v>
      </c>
      <c r="BZ29" s="82"/>
      <c r="CA29" s="81" t="s">
        <v>457</v>
      </c>
      <c r="CB29" s="82"/>
      <c r="CC29" s="81" t="s">
        <v>457</v>
      </c>
      <c r="CD29" s="82"/>
      <c r="CE29" s="81" t="s">
        <v>457</v>
      </c>
      <c r="CF29" s="302"/>
      <c r="CG29" s="81" t="s">
        <v>457</v>
      </c>
      <c r="CH29" s="302"/>
      <c r="CI29" s="81" t="s">
        <v>457</v>
      </c>
      <c r="CJ29" s="302"/>
      <c r="CK29" s="81" t="s">
        <v>457</v>
      </c>
      <c r="CL29" s="302"/>
      <c r="CM29" s="81" t="s">
        <v>457</v>
      </c>
      <c r="CN29" s="302"/>
      <c r="CO29" s="81" t="s">
        <v>457</v>
      </c>
      <c r="CP29" s="302"/>
      <c r="CQ29" s="81" t="s">
        <v>457</v>
      </c>
      <c r="CR29" s="302"/>
      <c r="CS29" s="81" t="s">
        <v>457</v>
      </c>
      <c r="CT29" s="302"/>
      <c r="CU29" s="81" t="s">
        <v>457</v>
      </c>
      <c r="CV29" s="302"/>
      <c r="CW29" s="81"/>
      <c r="CX29" s="302"/>
      <c r="CY29" s="81"/>
      <c r="CZ29" s="297"/>
      <c r="DA29" s="247">
        <v>96</v>
      </c>
      <c r="DB29" s="599" t="s">
        <v>231</v>
      </c>
      <c r="DC29" s="247">
        <v>15710</v>
      </c>
      <c r="DD29" s="247">
        <v>8500</v>
      </c>
      <c r="DE29" s="247">
        <v>0</v>
      </c>
      <c r="DF29" s="247">
        <v>8500</v>
      </c>
      <c r="DG29" s="297"/>
      <c r="DH29" s="297"/>
      <c r="DI29" s="297"/>
    </row>
    <row r="30" spans="1:113" ht="36" customHeight="1" x14ac:dyDescent="0.2">
      <c r="A30" s="294"/>
      <c r="B30" s="294"/>
      <c r="C30" s="292"/>
      <c r="D30" s="303"/>
      <c r="E30" s="303"/>
      <c r="F30" s="767" t="str">
        <f>D11&amp;" (W1, 4)"</f>
        <v>Caudal de entrada de aguas superficiales y subterráneas desde países vecinos (W1, 4)</v>
      </c>
      <c r="G30" s="770"/>
      <c r="H30" s="770"/>
      <c r="I30" s="771"/>
      <c r="J30" s="306"/>
      <c r="K30" s="306"/>
      <c r="L30" s="306"/>
      <c r="M30" s="767" t="str">
        <f>LEFT(D12,LEN(D12)-7)&amp;" (W1, 5)"</f>
        <v>Recursos renovables de agua dulce (W1, 5)</v>
      </c>
      <c r="N30" s="772"/>
      <c r="O30" s="772"/>
      <c r="P30" s="773"/>
      <c r="Q30" s="306"/>
      <c r="R30" s="306"/>
      <c r="S30" s="306"/>
      <c r="T30" s="306"/>
      <c r="U30" s="306"/>
      <c r="V30" s="306"/>
      <c r="W30" s="306"/>
      <c r="X30" s="306"/>
      <c r="Y30" s="306"/>
      <c r="Z30" s="306"/>
      <c r="AA30" s="306"/>
      <c r="AB30" s="308"/>
      <c r="AC30" s="308"/>
      <c r="AD30" s="308"/>
      <c r="AE30" s="308"/>
      <c r="AF30" s="308"/>
      <c r="AG30" s="308"/>
      <c r="AH30" s="308"/>
      <c r="AI30" s="308"/>
      <c r="AJ30" s="308"/>
      <c r="AK30" s="308"/>
      <c r="AL30" s="308"/>
      <c r="AM30" s="308"/>
      <c r="AN30" s="308"/>
      <c r="AO30" s="308"/>
      <c r="AP30" s="308"/>
      <c r="AQ30" s="308"/>
      <c r="AR30" s="308"/>
      <c r="AS30" s="308"/>
      <c r="AT30" s="304"/>
      <c r="AU30" s="304"/>
      <c r="AV30" s="304"/>
      <c r="AW30" s="304"/>
      <c r="AX30" s="304"/>
      <c r="AY30" s="304"/>
      <c r="AZ30" s="303"/>
      <c r="BA30" s="299"/>
      <c r="BB30" s="81">
        <v>3</v>
      </c>
      <c r="BC30" s="261" t="s">
        <v>410</v>
      </c>
      <c r="BD30" s="81" t="s">
        <v>453</v>
      </c>
      <c r="BE30" s="81">
        <f>F10</f>
        <v>14245.18359375</v>
      </c>
      <c r="BF30" s="82" t="s">
        <v>457</v>
      </c>
      <c r="BG30" s="81" t="s">
        <v>457</v>
      </c>
      <c r="BH30" s="82"/>
      <c r="BI30" s="81" t="s">
        <v>457</v>
      </c>
      <c r="BJ30" s="82"/>
      <c r="BK30" s="81" t="s">
        <v>457</v>
      </c>
      <c r="BL30" s="82"/>
      <c r="BM30" s="81" t="s">
        <v>457</v>
      </c>
      <c r="BN30" s="82"/>
      <c r="BO30" s="81" t="s">
        <v>457</v>
      </c>
      <c r="BP30" s="82"/>
      <c r="BQ30" s="81" t="s">
        <v>457</v>
      </c>
      <c r="BR30" s="82"/>
      <c r="BS30" s="81" t="s">
        <v>457</v>
      </c>
      <c r="BT30" s="82"/>
      <c r="BU30" s="81" t="s">
        <v>457</v>
      </c>
      <c r="BV30" s="81"/>
      <c r="BW30" s="81" t="s">
        <v>457</v>
      </c>
      <c r="BX30" s="82"/>
      <c r="BY30" s="81" t="s">
        <v>457</v>
      </c>
      <c r="BZ30" s="82"/>
      <c r="CA30" s="81" t="s">
        <v>457</v>
      </c>
      <c r="CB30" s="82"/>
      <c r="CC30" s="81" t="s">
        <v>457</v>
      </c>
      <c r="CD30" s="82"/>
      <c r="CE30" s="81" t="s">
        <v>457</v>
      </c>
      <c r="CF30" s="302"/>
      <c r="CG30" s="81" t="s">
        <v>457</v>
      </c>
      <c r="CH30" s="302"/>
      <c r="CI30" s="81" t="s">
        <v>457</v>
      </c>
      <c r="CJ30" s="302"/>
      <c r="CK30" s="81" t="s">
        <v>457</v>
      </c>
      <c r="CL30" s="302"/>
      <c r="CM30" s="81" t="s">
        <v>457</v>
      </c>
      <c r="CN30" s="302"/>
      <c r="CO30" s="81" t="s">
        <v>457</v>
      </c>
      <c r="CP30" s="302"/>
      <c r="CQ30" s="81" t="s">
        <v>457</v>
      </c>
      <c r="CR30" s="302"/>
      <c r="CS30" s="81" t="s">
        <v>457</v>
      </c>
      <c r="CT30" s="302"/>
      <c r="CU30" s="81" t="s">
        <v>457</v>
      </c>
      <c r="CV30" s="302"/>
      <c r="CW30" s="81"/>
      <c r="CX30" s="302"/>
      <c r="CY30" s="81"/>
      <c r="CZ30" s="297"/>
      <c r="DA30" s="247">
        <v>100</v>
      </c>
      <c r="DB30" s="599" t="s">
        <v>232</v>
      </c>
      <c r="DC30" s="247">
        <v>67490</v>
      </c>
      <c r="DD30" s="247">
        <v>21000</v>
      </c>
      <c r="DE30" s="247">
        <v>300</v>
      </c>
      <c r="DF30" s="247">
        <v>21300</v>
      </c>
      <c r="DG30" s="297"/>
      <c r="DH30" s="297"/>
      <c r="DI30" s="297"/>
    </row>
    <row r="31" spans="1:113" s="213" customFormat="1" ht="36.6" customHeight="1" x14ac:dyDescent="0.2">
      <c r="A31" s="294"/>
      <c r="B31" s="294"/>
      <c r="C31" s="292"/>
      <c r="D31" s="303"/>
      <c r="E31" s="303"/>
      <c r="F31" s="304"/>
      <c r="G31" s="304"/>
      <c r="H31" s="305"/>
      <c r="I31" s="313"/>
      <c r="J31" s="313"/>
      <c r="K31" s="313"/>
      <c r="L31" s="313"/>
      <c r="M31" s="313"/>
      <c r="N31" s="313"/>
      <c r="O31" s="313"/>
      <c r="P31" s="313"/>
      <c r="Q31" s="313"/>
      <c r="R31" s="313"/>
      <c r="S31" s="313"/>
      <c r="T31" s="313"/>
      <c r="U31" s="313"/>
      <c r="V31" s="767" t="str">
        <f>D16&amp; " (W1, 9)"</f>
        <v>Caudal de salida de aguas superficiales y subterráneas hacia el mar (W1, 9)</v>
      </c>
      <c r="W31" s="768"/>
      <c r="X31" s="768"/>
      <c r="Y31" s="768"/>
      <c r="Z31" s="768"/>
      <c r="AA31" s="769"/>
      <c r="AB31" s="304"/>
      <c r="AC31" s="594"/>
      <c r="AD31" s="594"/>
      <c r="AE31" s="594"/>
      <c r="AF31" s="308"/>
      <c r="AG31" s="308"/>
      <c r="AH31" s="308"/>
      <c r="AI31" s="308"/>
      <c r="AJ31" s="308"/>
      <c r="AK31" s="304"/>
      <c r="AL31" s="311"/>
      <c r="AM31" s="311"/>
      <c r="AN31" s="311"/>
      <c r="AO31" s="308"/>
      <c r="AP31" s="308"/>
      <c r="AQ31" s="308"/>
      <c r="AR31" s="308"/>
      <c r="AS31" s="308"/>
      <c r="AT31" s="304"/>
      <c r="AU31" s="304"/>
      <c r="AV31" s="304"/>
      <c r="AW31" s="304"/>
      <c r="AX31" s="304"/>
      <c r="AY31" s="304"/>
      <c r="AZ31" s="308"/>
      <c r="BA31" s="299"/>
      <c r="BB31" s="312">
        <v>13</v>
      </c>
      <c r="BC31" s="296" t="s">
        <v>435</v>
      </c>
      <c r="BD31" s="81" t="s">
        <v>453</v>
      </c>
      <c r="BE31" s="81">
        <f>VLOOKUP(B3,DA7:DF183,4,FALSE)</f>
        <v>15630</v>
      </c>
      <c r="BF31" s="82" t="s">
        <v>457</v>
      </c>
      <c r="BG31" s="81" t="s">
        <v>457</v>
      </c>
      <c r="BH31" s="82"/>
      <c r="BI31" s="81" t="s">
        <v>457</v>
      </c>
      <c r="BJ31" s="82"/>
      <c r="BK31" s="81" t="s">
        <v>457</v>
      </c>
      <c r="BL31" s="82"/>
      <c r="BM31" s="81" t="s">
        <v>457</v>
      </c>
      <c r="BN31" s="82"/>
      <c r="BO31" s="81" t="s">
        <v>457</v>
      </c>
      <c r="BP31" s="82"/>
      <c r="BQ31" s="81" t="s">
        <v>457</v>
      </c>
      <c r="BR31" s="82"/>
      <c r="BS31" s="81" t="s">
        <v>457</v>
      </c>
      <c r="BT31" s="82"/>
      <c r="BU31" s="81" t="s">
        <v>457</v>
      </c>
      <c r="BV31" s="81"/>
      <c r="BW31" s="81" t="s">
        <v>457</v>
      </c>
      <c r="BX31" s="82"/>
      <c r="BY31" s="81" t="s">
        <v>457</v>
      </c>
      <c r="BZ31" s="82"/>
      <c r="CA31" s="81" t="s">
        <v>457</v>
      </c>
      <c r="CB31" s="82"/>
      <c r="CC31" s="81" t="s">
        <v>457</v>
      </c>
      <c r="CD31" s="82"/>
      <c r="CE31" s="81" t="s">
        <v>457</v>
      </c>
      <c r="CF31" s="302"/>
      <c r="CG31" s="81" t="s">
        <v>457</v>
      </c>
      <c r="CH31" s="302"/>
      <c r="CI31" s="81" t="s">
        <v>457</v>
      </c>
      <c r="CJ31" s="302"/>
      <c r="CK31" s="81" t="s">
        <v>457</v>
      </c>
      <c r="CL31" s="302"/>
      <c r="CM31" s="81" t="s">
        <v>457</v>
      </c>
      <c r="CN31" s="302"/>
      <c r="CO31" s="81" t="s">
        <v>457</v>
      </c>
      <c r="CP31" s="302"/>
      <c r="CQ31" s="81" t="s">
        <v>457</v>
      </c>
      <c r="CR31" s="302"/>
      <c r="CS31" s="81" t="s">
        <v>457</v>
      </c>
      <c r="CT31" s="302"/>
      <c r="CU31" s="81" t="s">
        <v>457</v>
      </c>
      <c r="CV31" s="302"/>
      <c r="CW31" s="81"/>
      <c r="CX31" s="302"/>
      <c r="CY31" s="81"/>
      <c r="CZ31" s="220"/>
      <c r="DA31" s="247">
        <v>854</v>
      </c>
      <c r="DB31" s="599" t="s">
        <v>233</v>
      </c>
      <c r="DC31" s="247">
        <v>205100</v>
      </c>
      <c r="DD31" s="247">
        <v>12500</v>
      </c>
      <c r="DE31" s="247">
        <v>1000</v>
      </c>
      <c r="DF31" s="247">
        <v>13500</v>
      </c>
      <c r="DG31" s="220"/>
      <c r="DH31" s="220"/>
      <c r="DI31" s="220"/>
    </row>
    <row r="32" spans="1:113" s="213" customFormat="1" ht="15" customHeight="1" x14ac:dyDescent="0.2">
      <c r="A32" s="294"/>
      <c r="B32" s="294"/>
      <c r="C32" s="292"/>
      <c r="E32" s="309"/>
      <c r="F32" s="304"/>
      <c r="G32" s="304"/>
      <c r="H32" s="305"/>
      <c r="I32" s="313"/>
      <c r="J32" s="313"/>
      <c r="K32" s="313"/>
      <c r="L32" s="313"/>
      <c r="M32" s="313"/>
      <c r="N32" s="313"/>
      <c r="O32" s="313"/>
      <c r="P32" s="313"/>
      <c r="Q32" s="313"/>
      <c r="R32" s="313"/>
      <c r="S32" s="313"/>
      <c r="T32" s="313"/>
      <c r="U32" s="313"/>
      <c r="V32" s="313"/>
      <c r="W32" s="313"/>
      <c r="X32" s="313"/>
      <c r="Y32" s="313"/>
      <c r="Z32" s="313"/>
      <c r="AA32" s="314"/>
      <c r="AB32" s="304"/>
      <c r="AC32" s="594"/>
      <c r="AD32" s="594"/>
      <c r="AE32" s="594"/>
      <c r="AF32" s="592"/>
      <c r="AG32" s="309"/>
      <c r="AH32" s="304"/>
      <c r="AI32" s="304"/>
      <c r="AJ32" s="304"/>
      <c r="AK32" s="304"/>
      <c r="AL32" s="311"/>
      <c r="AM32" s="311"/>
      <c r="AN32" s="311"/>
      <c r="AO32" s="595"/>
      <c r="AP32" s="595"/>
      <c r="AQ32" s="219"/>
      <c r="AR32" s="219"/>
      <c r="AS32" s="219"/>
      <c r="AT32" s="304"/>
      <c r="AU32" s="304"/>
      <c r="AV32" s="304"/>
      <c r="AW32" s="304"/>
      <c r="AX32" s="304"/>
      <c r="AY32" s="304"/>
      <c r="AZ32" s="315"/>
      <c r="BA32" s="299"/>
      <c r="BB32" s="300" t="s">
        <v>136</v>
      </c>
      <c r="BC32" s="296" t="s">
        <v>171</v>
      </c>
      <c r="BD32" s="81" t="s">
        <v>453</v>
      </c>
      <c r="BE32" s="81">
        <f>ABS(BE30-BE31)</f>
        <v>1384.81640625</v>
      </c>
      <c r="BF32" s="81" t="s">
        <v>457</v>
      </c>
      <c r="BG32" s="81" t="s">
        <v>457</v>
      </c>
      <c r="BH32" s="81"/>
      <c r="BI32" s="81" t="s">
        <v>457</v>
      </c>
      <c r="BJ32" s="81"/>
      <c r="BK32" s="81" t="s">
        <v>457</v>
      </c>
      <c r="BL32" s="81"/>
      <c r="BM32" s="81" t="s">
        <v>457</v>
      </c>
      <c r="BN32" s="81"/>
      <c r="BO32" s="81" t="s">
        <v>457</v>
      </c>
      <c r="BP32" s="81"/>
      <c r="BQ32" s="81" t="s">
        <v>457</v>
      </c>
      <c r="BR32" s="81"/>
      <c r="BS32" s="81" t="s">
        <v>457</v>
      </c>
      <c r="BT32" s="81"/>
      <c r="BU32" s="81" t="s">
        <v>457</v>
      </c>
      <c r="BV32" s="81"/>
      <c r="BW32" s="81" t="s">
        <v>457</v>
      </c>
      <c r="BX32" s="81"/>
      <c r="BY32" s="81" t="s">
        <v>457</v>
      </c>
      <c r="BZ32" s="81"/>
      <c r="CA32" s="81" t="s">
        <v>457</v>
      </c>
      <c r="CB32" s="81"/>
      <c r="CC32" s="81" t="s">
        <v>457</v>
      </c>
      <c r="CD32" s="81"/>
      <c r="CE32" s="81" t="s">
        <v>457</v>
      </c>
      <c r="CF32" s="81"/>
      <c r="CG32" s="81" t="s">
        <v>457</v>
      </c>
      <c r="CH32" s="81"/>
      <c r="CI32" s="81" t="s">
        <v>457</v>
      </c>
      <c r="CJ32" s="81"/>
      <c r="CK32" s="81" t="s">
        <v>457</v>
      </c>
      <c r="CL32" s="81"/>
      <c r="CM32" s="81" t="s">
        <v>457</v>
      </c>
      <c r="CN32" s="81"/>
      <c r="CO32" s="81" t="s">
        <v>457</v>
      </c>
      <c r="CP32" s="81"/>
      <c r="CQ32" s="81" t="s">
        <v>457</v>
      </c>
      <c r="CR32" s="81"/>
      <c r="CS32" s="81" t="s">
        <v>457</v>
      </c>
      <c r="CT32" s="81"/>
      <c r="CU32" s="81" t="s">
        <v>457</v>
      </c>
      <c r="CV32" s="81"/>
      <c r="CW32" s="81"/>
      <c r="CX32" s="81"/>
      <c r="CY32" s="81"/>
      <c r="CZ32" s="220"/>
      <c r="DA32" s="247">
        <v>108</v>
      </c>
      <c r="DB32" s="599" t="s">
        <v>234</v>
      </c>
      <c r="DC32" s="247">
        <v>35460</v>
      </c>
      <c r="DD32" s="247">
        <v>10060</v>
      </c>
      <c r="DE32" s="247">
        <v>126</v>
      </c>
      <c r="DF32" s="247">
        <v>12540</v>
      </c>
      <c r="DG32" s="220"/>
      <c r="DH32" s="220"/>
      <c r="DI32" s="220"/>
    </row>
    <row r="33" spans="1:113" s="228" customFormat="1" ht="15" customHeight="1" x14ac:dyDescent="0.2">
      <c r="A33" s="223"/>
      <c r="B33" s="294"/>
      <c r="C33" s="292"/>
      <c r="D33" s="213"/>
      <c r="E33" s="316"/>
      <c r="F33" s="316"/>
      <c r="G33" s="220"/>
      <c r="H33" s="213"/>
      <c r="I33" s="315"/>
      <c r="J33" s="315"/>
      <c r="K33" s="315"/>
      <c r="L33" s="315"/>
      <c r="M33" s="315"/>
      <c r="N33" s="315"/>
      <c r="O33" s="315"/>
      <c r="P33" s="315"/>
      <c r="Q33" s="315"/>
      <c r="R33" s="315"/>
      <c r="S33" s="315"/>
      <c r="T33" s="315"/>
      <c r="U33" s="315"/>
      <c r="V33" s="315"/>
      <c r="W33" s="315"/>
      <c r="X33" s="315"/>
      <c r="Y33" s="315"/>
      <c r="Z33" s="315"/>
      <c r="AA33" s="316"/>
      <c r="AB33" s="316"/>
      <c r="AC33" s="316"/>
      <c r="AD33" s="315"/>
      <c r="AE33" s="315"/>
      <c r="AF33" s="316"/>
      <c r="AG33" s="316"/>
      <c r="AH33" s="316"/>
      <c r="AI33" s="316"/>
      <c r="AJ33" s="315"/>
      <c r="AK33" s="315"/>
      <c r="AL33" s="315"/>
      <c r="AM33" s="315"/>
      <c r="AN33" s="315"/>
      <c r="AO33" s="315"/>
      <c r="AP33" s="315"/>
      <c r="AQ33" s="315"/>
      <c r="AR33" s="315"/>
      <c r="AS33" s="315"/>
      <c r="AT33" s="315"/>
      <c r="AU33" s="315"/>
      <c r="AV33" s="315"/>
      <c r="AW33" s="315"/>
      <c r="AX33" s="315"/>
      <c r="AY33" s="315"/>
      <c r="AZ33" s="315"/>
      <c r="BA33" s="226"/>
      <c r="BB33" s="81">
        <v>4</v>
      </c>
      <c r="BC33" s="261" t="s">
        <v>413</v>
      </c>
      <c r="BD33" s="81" t="s">
        <v>453</v>
      </c>
      <c r="BE33" s="81">
        <f>F11</f>
        <v>6899.8916015625</v>
      </c>
      <c r="BF33" s="81" t="s">
        <v>457</v>
      </c>
      <c r="BG33" s="81" t="s">
        <v>457</v>
      </c>
      <c r="BH33" s="81"/>
      <c r="BI33" s="81" t="s">
        <v>457</v>
      </c>
      <c r="BJ33" s="81"/>
      <c r="BK33" s="81" t="s">
        <v>457</v>
      </c>
      <c r="BL33" s="81"/>
      <c r="BM33" s="81" t="s">
        <v>457</v>
      </c>
      <c r="BN33" s="81"/>
      <c r="BO33" s="81" t="s">
        <v>457</v>
      </c>
      <c r="BP33" s="81"/>
      <c r="BQ33" s="81" t="s">
        <v>457</v>
      </c>
      <c r="BR33" s="81"/>
      <c r="BS33" s="81" t="s">
        <v>457</v>
      </c>
      <c r="BT33" s="81"/>
      <c r="BU33" s="81" t="s">
        <v>457</v>
      </c>
      <c r="BV33" s="81"/>
      <c r="BW33" s="81" t="s">
        <v>457</v>
      </c>
      <c r="BX33" s="81"/>
      <c r="BY33" s="81" t="s">
        <v>457</v>
      </c>
      <c r="BZ33" s="81"/>
      <c r="CA33" s="81" t="s">
        <v>457</v>
      </c>
      <c r="CB33" s="81"/>
      <c r="CC33" s="81" t="s">
        <v>457</v>
      </c>
      <c r="CD33" s="81"/>
      <c r="CE33" s="81" t="s">
        <v>457</v>
      </c>
      <c r="CF33" s="81"/>
      <c r="CG33" s="81" t="s">
        <v>457</v>
      </c>
      <c r="CH33" s="81"/>
      <c r="CI33" s="81" t="s">
        <v>457</v>
      </c>
      <c r="CJ33" s="81"/>
      <c r="CK33" s="81" t="s">
        <v>457</v>
      </c>
      <c r="CL33" s="81"/>
      <c r="CM33" s="81" t="s">
        <v>457</v>
      </c>
      <c r="CN33" s="81"/>
      <c r="CO33" s="81" t="s">
        <v>457</v>
      </c>
      <c r="CP33" s="81"/>
      <c r="CQ33" s="81" t="s">
        <v>457</v>
      </c>
      <c r="CR33" s="81"/>
      <c r="CS33" s="81" t="s">
        <v>457</v>
      </c>
      <c r="CT33" s="81"/>
      <c r="CU33" s="81" t="s">
        <v>457</v>
      </c>
      <c r="CV33" s="81"/>
      <c r="CW33" s="81"/>
      <c r="CX33" s="81"/>
      <c r="CY33" s="81"/>
      <c r="CZ33" s="317"/>
      <c r="DA33" s="247">
        <v>132</v>
      </c>
      <c r="DB33" s="599" t="s">
        <v>549</v>
      </c>
      <c r="DC33" s="247">
        <v>918.8</v>
      </c>
      <c r="DD33" s="247">
        <v>300</v>
      </c>
      <c r="DE33" s="247">
        <v>0</v>
      </c>
      <c r="DF33" s="247">
        <v>300</v>
      </c>
      <c r="DG33" s="317"/>
      <c r="DH33" s="317"/>
      <c r="DI33" s="317"/>
    </row>
    <row r="34" spans="1:113" ht="15" customHeight="1" x14ac:dyDescent="0.25">
      <c r="B34" s="192">
        <v>3</v>
      </c>
      <c r="C34" s="318" t="s">
        <v>119</v>
      </c>
      <c r="D34" s="319"/>
      <c r="E34" s="318"/>
      <c r="F34" s="320"/>
      <c r="G34" s="321"/>
      <c r="H34" s="322"/>
      <c r="I34" s="323"/>
      <c r="J34" s="322"/>
      <c r="K34" s="323"/>
      <c r="L34" s="323"/>
      <c r="M34" s="323"/>
      <c r="N34" s="323"/>
      <c r="O34" s="323"/>
      <c r="P34" s="323"/>
      <c r="Q34" s="323"/>
      <c r="R34" s="322"/>
      <c r="S34" s="323"/>
      <c r="T34" s="322"/>
      <c r="U34" s="323"/>
      <c r="V34" s="322"/>
      <c r="W34" s="321"/>
      <c r="X34" s="322"/>
      <c r="Y34" s="321"/>
      <c r="Z34" s="322"/>
      <c r="AA34" s="321"/>
      <c r="AB34" s="322"/>
      <c r="AC34" s="321"/>
      <c r="AD34" s="322"/>
      <c r="AE34" s="321"/>
      <c r="AF34" s="322"/>
      <c r="AG34" s="321"/>
      <c r="AH34" s="322"/>
      <c r="AI34" s="323"/>
      <c r="AJ34" s="322"/>
      <c r="AK34" s="321"/>
      <c r="AL34" s="322"/>
      <c r="AM34" s="321"/>
      <c r="AN34" s="322"/>
      <c r="AO34" s="321"/>
      <c r="AP34" s="321"/>
      <c r="AQ34" s="321"/>
      <c r="AR34" s="321"/>
      <c r="AS34" s="321"/>
      <c r="AT34" s="322"/>
      <c r="AU34" s="324"/>
      <c r="AV34" s="320"/>
      <c r="AW34" s="320"/>
      <c r="AX34" s="322"/>
      <c r="AY34" s="324"/>
      <c r="AZ34" s="320"/>
      <c r="BB34" s="295">
        <v>14</v>
      </c>
      <c r="BC34" s="296" t="s">
        <v>437</v>
      </c>
      <c r="BD34" s="81" t="s">
        <v>453</v>
      </c>
      <c r="BE34" s="81">
        <f>VLOOKUP(B3,DA7:DF183,5,FALSE)</f>
        <v>10640</v>
      </c>
      <c r="BF34" s="81" t="s">
        <v>457</v>
      </c>
      <c r="BG34" s="81" t="s">
        <v>457</v>
      </c>
      <c r="BH34" s="81"/>
      <c r="BI34" s="81" t="s">
        <v>457</v>
      </c>
      <c r="BJ34" s="81"/>
      <c r="BK34" s="81" t="s">
        <v>457</v>
      </c>
      <c r="BL34" s="81"/>
      <c r="BM34" s="81" t="s">
        <v>457</v>
      </c>
      <c r="BN34" s="81"/>
      <c r="BO34" s="81" t="s">
        <v>457</v>
      </c>
      <c r="BP34" s="81"/>
      <c r="BQ34" s="81" t="s">
        <v>457</v>
      </c>
      <c r="BR34" s="81"/>
      <c r="BS34" s="81" t="s">
        <v>457</v>
      </c>
      <c r="BT34" s="81"/>
      <c r="BU34" s="81" t="s">
        <v>457</v>
      </c>
      <c r="BV34" s="81"/>
      <c r="BW34" s="81" t="s">
        <v>457</v>
      </c>
      <c r="BX34" s="81"/>
      <c r="BY34" s="81" t="s">
        <v>457</v>
      </c>
      <c r="BZ34" s="81"/>
      <c r="CA34" s="81" t="s">
        <v>457</v>
      </c>
      <c r="CB34" s="81"/>
      <c r="CC34" s="81" t="s">
        <v>457</v>
      </c>
      <c r="CD34" s="81"/>
      <c r="CE34" s="81" t="s">
        <v>457</v>
      </c>
      <c r="CF34" s="81"/>
      <c r="CG34" s="81" t="s">
        <v>457</v>
      </c>
      <c r="CH34" s="81"/>
      <c r="CI34" s="81" t="s">
        <v>457</v>
      </c>
      <c r="CJ34" s="81"/>
      <c r="CK34" s="81" t="s">
        <v>457</v>
      </c>
      <c r="CL34" s="81"/>
      <c r="CM34" s="81" t="s">
        <v>457</v>
      </c>
      <c r="CN34" s="81"/>
      <c r="CO34" s="81" t="s">
        <v>457</v>
      </c>
      <c r="CP34" s="81"/>
      <c r="CQ34" s="81" t="s">
        <v>457</v>
      </c>
      <c r="CR34" s="81"/>
      <c r="CS34" s="81" t="s">
        <v>457</v>
      </c>
      <c r="CT34" s="81"/>
      <c r="CU34" s="81" t="s">
        <v>457</v>
      </c>
      <c r="CV34" s="81"/>
      <c r="CW34" s="81"/>
      <c r="CX34" s="81"/>
      <c r="CY34" s="81"/>
      <c r="DA34" s="247">
        <v>116</v>
      </c>
      <c r="DB34" s="599" t="s">
        <v>235</v>
      </c>
      <c r="DC34" s="247">
        <v>344700</v>
      </c>
      <c r="DD34" s="247">
        <v>120600</v>
      </c>
      <c r="DE34" s="247">
        <v>355500</v>
      </c>
      <c r="DF34" s="247">
        <v>476100</v>
      </c>
    </row>
    <row r="35" spans="1:113" ht="15" customHeight="1" x14ac:dyDescent="0.25">
      <c r="C35" s="325"/>
      <c r="D35" s="326"/>
      <c r="E35" s="327"/>
      <c r="F35" s="213"/>
      <c r="G35" s="219"/>
      <c r="H35" s="218"/>
      <c r="I35" s="304"/>
      <c r="J35" s="218"/>
      <c r="K35" s="304"/>
      <c r="L35" s="304"/>
      <c r="M35" s="304"/>
      <c r="N35" s="304"/>
      <c r="O35" s="304"/>
      <c r="P35" s="304"/>
      <c r="Q35" s="304"/>
      <c r="R35" s="218"/>
      <c r="S35" s="304"/>
      <c r="T35" s="218"/>
      <c r="U35" s="304"/>
      <c r="V35" s="218"/>
      <c r="W35" s="219"/>
      <c r="X35" s="218"/>
      <c r="Y35" s="219"/>
      <c r="Z35" s="218"/>
      <c r="AA35" s="219"/>
      <c r="AB35" s="218"/>
      <c r="AC35" s="219"/>
      <c r="AD35" s="218"/>
      <c r="AE35" s="219"/>
      <c r="AF35" s="218"/>
      <c r="AG35" s="219"/>
      <c r="AH35" s="218"/>
      <c r="AI35" s="304"/>
      <c r="AJ35" s="218"/>
      <c r="AK35" s="219"/>
      <c r="AL35" s="218"/>
      <c r="AM35" s="219"/>
      <c r="AN35" s="218"/>
      <c r="AO35" s="219"/>
      <c r="AP35" s="219"/>
      <c r="AQ35" s="219"/>
      <c r="AR35" s="219"/>
      <c r="AS35" s="219"/>
      <c r="AT35" s="218"/>
      <c r="AU35" s="212"/>
      <c r="AV35" s="213"/>
      <c r="AW35" s="213"/>
      <c r="AX35" s="218"/>
      <c r="AY35" s="212"/>
      <c r="AZ35" s="213"/>
      <c r="BB35" s="300" t="s">
        <v>136</v>
      </c>
      <c r="BC35" s="296" t="s">
        <v>172</v>
      </c>
      <c r="BD35" s="81" t="s">
        <v>453</v>
      </c>
      <c r="BE35" s="81">
        <f>ABS(BE33-BE34)</f>
        <v>3740.1083984375</v>
      </c>
      <c r="BF35" s="81" t="s">
        <v>457</v>
      </c>
      <c r="BG35" s="81" t="s">
        <v>457</v>
      </c>
      <c r="BH35" s="81"/>
      <c r="BI35" s="81" t="s">
        <v>457</v>
      </c>
      <c r="BJ35" s="81"/>
      <c r="BK35" s="81" t="s">
        <v>457</v>
      </c>
      <c r="BL35" s="81"/>
      <c r="BM35" s="81" t="s">
        <v>457</v>
      </c>
      <c r="BN35" s="81"/>
      <c r="BO35" s="81" t="s">
        <v>457</v>
      </c>
      <c r="BP35" s="81"/>
      <c r="BQ35" s="81" t="s">
        <v>457</v>
      </c>
      <c r="BR35" s="81"/>
      <c r="BS35" s="81" t="s">
        <v>457</v>
      </c>
      <c r="BT35" s="81"/>
      <c r="BU35" s="81" t="s">
        <v>457</v>
      </c>
      <c r="BV35" s="81"/>
      <c r="BW35" s="81" t="s">
        <v>457</v>
      </c>
      <c r="BX35" s="81"/>
      <c r="BY35" s="81" t="s">
        <v>457</v>
      </c>
      <c r="BZ35" s="81"/>
      <c r="CA35" s="81" t="s">
        <v>457</v>
      </c>
      <c r="CB35" s="81"/>
      <c r="CC35" s="81" t="s">
        <v>457</v>
      </c>
      <c r="CD35" s="81"/>
      <c r="CE35" s="81" t="s">
        <v>457</v>
      </c>
      <c r="CF35" s="81"/>
      <c r="CG35" s="81" t="s">
        <v>457</v>
      </c>
      <c r="CH35" s="81"/>
      <c r="CI35" s="81" t="s">
        <v>457</v>
      </c>
      <c r="CJ35" s="81"/>
      <c r="CK35" s="81" t="s">
        <v>457</v>
      </c>
      <c r="CL35" s="81"/>
      <c r="CM35" s="81" t="s">
        <v>457</v>
      </c>
      <c r="CN35" s="81"/>
      <c r="CO35" s="81" t="s">
        <v>457</v>
      </c>
      <c r="CP35" s="81"/>
      <c r="CQ35" s="81" t="s">
        <v>457</v>
      </c>
      <c r="CR35" s="81"/>
      <c r="CS35" s="81" t="s">
        <v>457</v>
      </c>
      <c r="CT35" s="81"/>
      <c r="CU35" s="81" t="s">
        <v>457</v>
      </c>
      <c r="CV35" s="81"/>
      <c r="CW35" s="81"/>
      <c r="CX35" s="81"/>
      <c r="CY35" s="81"/>
      <c r="DA35" s="247">
        <v>120</v>
      </c>
      <c r="DB35" s="599" t="s">
        <v>236</v>
      </c>
      <c r="DC35" s="247">
        <v>762600</v>
      </c>
      <c r="DD35" s="247">
        <v>273000</v>
      </c>
      <c r="DE35" s="247">
        <v>4000</v>
      </c>
      <c r="DF35" s="247">
        <v>283100</v>
      </c>
    </row>
    <row r="36" spans="1:113" ht="18" customHeight="1" x14ac:dyDescent="0.2">
      <c r="C36" s="328" t="s">
        <v>515</v>
      </c>
      <c r="D36" s="774" t="s">
        <v>516</v>
      </c>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775"/>
      <c r="AE36" s="775"/>
      <c r="AF36" s="775"/>
      <c r="AG36" s="775"/>
      <c r="AH36" s="775"/>
      <c r="AI36" s="775"/>
      <c r="AJ36" s="775"/>
      <c r="AK36" s="775"/>
      <c r="AL36" s="775"/>
      <c r="AM36" s="775"/>
      <c r="AN36" s="775"/>
      <c r="AO36" s="775"/>
      <c r="AP36" s="775"/>
      <c r="AQ36" s="775"/>
      <c r="AR36" s="775"/>
      <c r="AS36" s="775"/>
      <c r="AT36" s="775"/>
      <c r="AU36" s="775"/>
      <c r="AV36" s="775"/>
      <c r="AW36" s="775"/>
      <c r="AX36" s="775"/>
      <c r="AY36" s="775"/>
      <c r="AZ36" s="776"/>
      <c r="BB36" s="98">
        <v>5</v>
      </c>
      <c r="BC36" s="270" t="s">
        <v>409</v>
      </c>
      <c r="BD36" s="81" t="s">
        <v>453</v>
      </c>
      <c r="BE36" s="81">
        <f>F12</f>
        <v>21145.07421875</v>
      </c>
      <c r="BF36" s="81" t="s">
        <v>457</v>
      </c>
      <c r="BG36" s="81" t="s">
        <v>457</v>
      </c>
      <c r="BH36" s="81"/>
      <c r="BI36" s="81" t="s">
        <v>457</v>
      </c>
      <c r="BJ36" s="81"/>
      <c r="BK36" s="81" t="s">
        <v>457</v>
      </c>
      <c r="BL36" s="81"/>
      <c r="BM36" s="81" t="s">
        <v>457</v>
      </c>
      <c r="BN36" s="81"/>
      <c r="BO36" s="81" t="s">
        <v>457</v>
      </c>
      <c r="BP36" s="81"/>
      <c r="BQ36" s="81" t="s">
        <v>457</v>
      </c>
      <c r="BR36" s="81"/>
      <c r="BS36" s="81" t="s">
        <v>457</v>
      </c>
      <c r="BT36" s="81"/>
      <c r="BU36" s="81" t="s">
        <v>457</v>
      </c>
      <c r="BV36" s="81"/>
      <c r="BW36" s="81" t="s">
        <v>457</v>
      </c>
      <c r="BX36" s="81"/>
      <c r="BY36" s="81" t="s">
        <v>457</v>
      </c>
      <c r="BZ36" s="81"/>
      <c r="CA36" s="81" t="s">
        <v>457</v>
      </c>
      <c r="CB36" s="81"/>
      <c r="CC36" s="81" t="s">
        <v>457</v>
      </c>
      <c r="CD36" s="81"/>
      <c r="CE36" s="81" t="s">
        <v>457</v>
      </c>
      <c r="CF36" s="81"/>
      <c r="CG36" s="81" t="s">
        <v>457</v>
      </c>
      <c r="CH36" s="81"/>
      <c r="CI36" s="81" t="s">
        <v>457</v>
      </c>
      <c r="CJ36" s="81"/>
      <c r="CK36" s="81" t="s">
        <v>457</v>
      </c>
      <c r="CL36" s="81"/>
      <c r="CM36" s="81" t="s">
        <v>457</v>
      </c>
      <c r="CN36" s="81"/>
      <c r="CO36" s="81" t="s">
        <v>457</v>
      </c>
      <c r="CP36" s="81"/>
      <c r="CQ36" s="81" t="s">
        <v>457</v>
      </c>
      <c r="CR36" s="81"/>
      <c r="CS36" s="81" t="s">
        <v>457</v>
      </c>
      <c r="CT36" s="81"/>
      <c r="CU36" s="81" t="s">
        <v>457</v>
      </c>
      <c r="CV36" s="81"/>
      <c r="CW36" s="81"/>
      <c r="CX36" s="81"/>
      <c r="CY36" s="81"/>
      <c r="DA36" s="247">
        <v>140</v>
      </c>
      <c r="DB36" s="599" t="s">
        <v>237</v>
      </c>
      <c r="DC36" s="247">
        <v>836700</v>
      </c>
      <c r="DD36" s="247">
        <v>141000</v>
      </c>
      <c r="DE36" s="247">
        <v>0</v>
      </c>
      <c r="DF36" s="247">
        <v>141000</v>
      </c>
    </row>
    <row r="37" spans="1:113" ht="18" customHeight="1" x14ac:dyDescent="0.2">
      <c r="A37" s="191">
        <v>1</v>
      </c>
      <c r="B37" s="192">
        <v>6863</v>
      </c>
      <c r="C37" s="548" t="s">
        <v>19</v>
      </c>
      <c r="D37" s="789" t="s">
        <v>699</v>
      </c>
      <c r="E37" s="790"/>
      <c r="F37" s="790"/>
      <c r="G37" s="790"/>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790"/>
      <c r="AQ37" s="790"/>
      <c r="AR37" s="790"/>
      <c r="AS37" s="790"/>
      <c r="AT37" s="790"/>
      <c r="AU37" s="790"/>
      <c r="AV37" s="790"/>
      <c r="AW37" s="790"/>
      <c r="AX37" s="790"/>
      <c r="AY37" s="790"/>
      <c r="AZ37" s="791"/>
      <c r="BB37" s="295">
        <v>15</v>
      </c>
      <c r="BC37" s="296" t="s">
        <v>436</v>
      </c>
      <c r="BD37" s="81" t="s">
        <v>453</v>
      </c>
      <c r="BE37" s="81">
        <f>VLOOKUP(B3,DA7:DF183,6,FALSE)</f>
        <v>26270</v>
      </c>
      <c r="BF37" s="81" t="s">
        <v>457</v>
      </c>
      <c r="BG37" s="81" t="s">
        <v>457</v>
      </c>
      <c r="BH37" s="81"/>
      <c r="BI37" s="81" t="s">
        <v>457</v>
      </c>
      <c r="BJ37" s="81"/>
      <c r="BK37" s="81" t="s">
        <v>457</v>
      </c>
      <c r="BL37" s="81"/>
      <c r="BM37" s="81" t="s">
        <v>457</v>
      </c>
      <c r="BN37" s="81"/>
      <c r="BO37" s="81" t="s">
        <v>457</v>
      </c>
      <c r="BP37" s="81"/>
      <c r="BQ37" s="81" t="s">
        <v>457</v>
      </c>
      <c r="BR37" s="81"/>
      <c r="BS37" s="81" t="s">
        <v>457</v>
      </c>
      <c r="BT37" s="81"/>
      <c r="BU37" s="81" t="s">
        <v>457</v>
      </c>
      <c r="BV37" s="81"/>
      <c r="BW37" s="81" t="s">
        <v>457</v>
      </c>
      <c r="BX37" s="81"/>
      <c r="BY37" s="81" t="s">
        <v>457</v>
      </c>
      <c r="BZ37" s="81"/>
      <c r="CA37" s="81" t="s">
        <v>457</v>
      </c>
      <c r="CB37" s="81"/>
      <c r="CC37" s="81" t="s">
        <v>457</v>
      </c>
      <c r="CD37" s="81"/>
      <c r="CE37" s="81" t="s">
        <v>457</v>
      </c>
      <c r="CF37" s="81"/>
      <c r="CG37" s="81" t="s">
        <v>457</v>
      </c>
      <c r="CH37" s="81"/>
      <c r="CI37" s="81" t="s">
        <v>457</v>
      </c>
      <c r="CJ37" s="81"/>
      <c r="CK37" s="81" t="s">
        <v>457</v>
      </c>
      <c r="CL37" s="81"/>
      <c r="CM37" s="81" t="s">
        <v>457</v>
      </c>
      <c r="CN37" s="81"/>
      <c r="CO37" s="81" t="s">
        <v>457</v>
      </c>
      <c r="CP37" s="81"/>
      <c r="CQ37" s="81" t="s">
        <v>457</v>
      </c>
      <c r="CR37" s="81"/>
      <c r="CS37" s="81" t="s">
        <v>457</v>
      </c>
      <c r="CT37" s="81"/>
      <c r="CU37" s="81" t="s">
        <v>457</v>
      </c>
      <c r="CV37" s="81"/>
      <c r="CW37" s="81"/>
      <c r="CX37" s="81"/>
      <c r="CY37" s="81"/>
      <c r="DA37" s="247">
        <v>148</v>
      </c>
      <c r="DB37" s="599" t="s">
        <v>238</v>
      </c>
      <c r="DC37" s="247">
        <v>413400</v>
      </c>
      <c r="DD37" s="247">
        <v>15000</v>
      </c>
      <c r="DE37" s="247">
        <v>30700</v>
      </c>
      <c r="DF37" s="247">
        <v>45700</v>
      </c>
    </row>
    <row r="38" spans="1:113" ht="18" customHeight="1" x14ac:dyDescent="0.2">
      <c r="A38" s="191">
        <v>1</v>
      </c>
      <c r="B38" s="192">
        <v>6864</v>
      </c>
      <c r="C38" s="548" t="s">
        <v>694</v>
      </c>
      <c r="D38" s="792" t="s">
        <v>698</v>
      </c>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3"/>
      <c r="AY38" s="793"/>
      <c r="AZ38" s="794"/>
      <c r="BB38" s="329" t="s">
        <v>136</v>
      </c>
      <c r="BC38" s="330" t="s">
        <v>173</v>
      </c>
      <c r="BD38" s="96" t="s">
        <v>453</v>
      </c>
      <c r="BE38" s="96">
        <f>ABS(BE36-BE37)</f>
        <v>5124.92578125</v>
      </c>
      <c r="BF38" s="96" t="s">
        <v>457</v>
      </c>
      <c r="BG38" s="96" t="s">
        <v>457</v>
      </c>
      <c r="BH38" s="96"/>
      <c r="BI38" s="96" t="s">
        <v>457</v>
      </c>
      <c r="BJ38" s="96"/>
      <c r="BK38" s="96" t="s">
        <v>457</v>
      </c>
      <c r="BL38" s="96"/>
      <c r="BM38" s="96" t="s">
        <v>457</v>
      </c>
      <c r="BN38" s="96"/>
      <c r="BO38" s="96" t="s">
        <v>457</v>
      </c>
      <c r="BP38" s="96"/>
      <c r="BQ38" s="96" t="s">
        <v>457</v>
      </c>
      <c r="BR38" s="96"/>
      <c r="BS38" s="96" t="s">
        <v>457</v>
      </c>
      <c r="BT38" s="96"/>
      <c r="BU38" s="96" t="s">
        <v>457</v>
      </c>
      <c r="BV38" s="96"/>
      <c r="BW38" s="96" t="s">
        <v>457</v>
      </c>
      <c r="BX38" s="96"/>
      <c r="BY38" s="96" t="s">
        <v>457</v>
      </c>
      <c r="BZ38" s="96"/>
      <c r="CA38" s="96" t="s">
        <v>457</v>
      </c>
      <c r="CB38" s="96"/>
      <c r="CC38" s="96" t="s">
        <v>457</v>
      </c>
      <c r="CD38" s="96"/>
      <c r="CE38" s="96" t="s">
        <v>457</v>
      </c>
      <c r="CF38" s="96"/>
      <c r="CG38" s="96" t="s">
        <v>457</v>
      </c>
      <c r="CH38" s="96"/>
      <c r="CI38" s="96" t="s">
        <v>457</v>
      </c>
      <c r="CJ38" s="96"/>
      <c r="CK38" s="96" t="s">
        <v>457</v>
      </c>
      <c r="CL38" s="96"/>
      <c r="CM38" s="96" t="s">
        <v>457</v>
      </c>
      <c r="CN38" s="96"/>
      <c r="CO38" s="96" t="s">
        <v>457</v>
      </c>
      <c r="CP38" s="96"/>
      <c r="CQ38" s="96" t="s">
        <v>457</v>
      </c>
      <c r="CR38" s="96"/>
      <c r="CS38" s="96" t="s">
        <v>457</v>
      </c>
      <c r="CT38" s="96"/>
      <c r="CU38" s="96" t="s">
        <v>457</v>
      </c>
      <c r="CV38" s="96"/>
      <c r="CW38" s="96"/>
      <c r="CX38" s="96"/>
      <c r="CY38" s="96"/>
      <c r="DA38" s="247">
        <v>156</v>
      </c>
      <c r="DB38" s="599" t="s">
        <v>239</v>
      </c>
      <c r="DC38" s="247">
        <v>6192000</v>
      </c>
      <c r="DD38" s="247">
        <v>2813000</v>
      </c>
      <c r="DE38" s="247">
        <v>17170</v>
      </c>
      <c r="DF38" s="247">
        <v>2840000</v>
      </c>
    </row>
    <row r="39" spans="1:113" ht="18" customHeight="1" x14ac:dyDescent="0.2">
      <c r="A39" s="191">
        <v>1</v>
      </c>
      <c r="B39" s="192">
        <v>6349</v>
      </c>
      <c r="C39" s="548" t="s">
        <v>695</v>
      </c>
      <c r="D39" s="792" t="s">
        <v>697</v>
      </c>
      <c r="E39" s="793"/>
      <c r="F39" s="793"/>
      <c r="G39" s="793"/>
      <c r="H39" s="793"/>
      <c r="I39" s="793"/>
      <c r="J39" s="793"/>
      <c r="K39" s="793"/>
      <c r="L39" s="793"/>
      <c r="M39" s="793"/>
      <c r="N39" s="793"/>
      <c r="O39" s="793"/>
      <c r="P39" s="793"/>
      <c r="Q39" s="793"/>
      <c r="R39" s="793"/>
      <c r="S39" s="793"/>
      <c r="T39" s="793"/>
      <c r="U39" s="793"/>
      <c r="V39" s="793"/>
      <c r="W39" s="793"/>
      <c r="X39" s="793"/>
      <c r="Y39" s="793"/>
      <c r="Z39" s="793"/>
      <c r="AA39" s="793"/>
      <c r="AB39" s="793"/>
      <c r="AC39" s="793"/>
      <c r="AD39" s="793"/>
      <c r="AE39" s="793"/>
      <c r="AF39" s="793"/>
      <c r="AG39" s="793"/>
      <c r="AH39" s="793"/>
      <c r="AI39" s="793"/>
      <c r="AJ39" s="793"/>
      <c r="AK39" s="793"/>
      <c r="AL39" s="793"/>
      <c r="AM39" s="793"/>
      <c r="AN39" s="793"/>
      <c r="AO39" s="793"/>
      <c r="AP39" s="793"/>
      <c r="AQ39" s="793"/>
      <c r="AR39" s="793"/>
      <c r="AS39" s="793"/>
      <c r="AT39" s="793"/>
      <c r="AU39" s="793"/>
      <c r="AV39" s="793"/>
      <c r="AW39" s="793"/>
      <c r="AX39" s="793"/>
      <c r="AY39" s="793"/>
      <c r="AZ39" s="794"/>
      <c r="BB39" s="331" t="s">
        <v>438</v>
      </c>
      <c r="BC39" s="332" t="s">
        <v>439</v>
      </c>
      <c r="DA39" s="247">
        <v>344</v>
      </c>
      <c r="DB39" s="599" t="s">
        <v>240</v>
      </c>
      <c r="DC39" s="247"/>
      <c r="DD39" s="247"/>
      <c r="DE39" s="247"/>
      <c r="DF39" s="247"/>
    </row>
    <row r="40" spans="1:113" ht="18" customHeight="1" x14ac:dyDescent="0.2">
      <c r="A40" s="191">
        <v>1</v>
      </c>
      <c r="B40" s="192">
        <v>6865</v>
      </c>
      <c r="C40" s="548" t="s">
        <v>696</v>
      </c>
      <c r="D40" s="792" t="s">
        <v>700</v>
      </c>
      <c r="E40" s="793"/>
      <c r="F40" s="793"/>
      <c r="G40" s="793"/>
      <c r="H40" s="793"/>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3"/>
      <c r="AI40" s="793"/>
      <c r="AJ40" s="793"/>
      <c r="AK40" s="793"/>
      <c r="AL40" s="793"/>
      <c r="AM40" s="793"/>
      <c r="AN40" s="793"/>
      <c r="AO40" s="793"/>
      <c r="AP40" s="793"/>
      <c r="AQ40" s="793"/>
      <c r="AR40" s="793"/>
      <c r="AS40" s="793"/>
      <c r="AT40" s="793"/>
      <c r="AU40" s="793"/>
      <c r="AV40" s="793"/>
      <c r="AW40" s="793"/>
      <c r="AX40" s="793"/>
      <c r="AY40" s="793"/>
      <c r="AZ40" s="794"/>
      <c r="BB40" s="331" t="s">
        <v>440</v>
      </c>
      <c r="BC40" s="332" t="s">
        <v>441</v>
      </c>
      <c r="DA40" s="247">
        <v>446</v>
      </c>
      <c r="DB40" s="599" t="s">
        <v>241</v>
      </c>
      <c r="DC40" s="247"/>
      <c r="DD40" s="247"/>
      <c r="DE40" s="247"/>
      <c r="DF40" s="247"/>
    </row>
    <row r="41" spans="1:113" ht="18" customHeight="1" x14ac:dyDescent="0.2">
      <c r="A41" s="191">
        <v>1</v>
      </c>
      <c r="B41" s="192">
        <v>6866</v>
      </c>
      <c r="C41" s="548" t="s">
        <v>701</v>
      </c>
      <c r="D41" s="792" t="s">
        <v>703</v>
      </c>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793"/>
      <c r="AM41" s="793"/>
      <c r="AN41" s="793"/>
      <c r="AO41" s="793"/>
      <c r="AP41" s="793"/>
      <c r="AQ41" s="793"/>
      <c r="AR41" s="793"/>
      <c r="AS41" s="793"/>
      <c r="AT41" s="793"/>
      <c r="AU41" s="793"/>
      <c r="AV41" s="793"/>
      <c r="AW41" s="793"/>
      <c r="AX41" s="793"/>
      <c r="AY41" s="793"/>
      <c r="AZ41" s="794"/>
      <c r="BB41" s="333" t="s">
        <v>443</v>
      </c>
      <c r="BC41" s="332" t="s">
        <v>445</v>
      </c>
      <c r="BD41" s="334"/>
      <c r="DA41" s="247">
        <v>170</v>
      </c>
      <c r="DB41" s="599" t="s">
        <v>242</v>
      </c>
      <c r="DC41" s="247">
        <v>3699000</v>
      </c>
      <c r="DD41" s="247">
        <v>2145000</v>
      </c>
      <c r="DE41" s="247">
        <v>215000</v>
      </c>
      <c r="DF41" s="247">
        <v>2360000</v>
      </c>
    </row>
    <row r="42" spans="1:113" ht="18" customHeight="1" x14ac:dyDescent="0.2">
      <c r="C42" s="548"/>
      <c r="D42" s="792"/>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3"/>
      <c r="AY42" s="793"/>
      <c r="AZ42" s="794"/>
      <c r="BB42" s="333" t="s">
        <v>442</v>
      </c>
      <c r="BC42" s="332" t="s">
        <v>379</v>
      </c>
      <c r="BD42" s="334"/>
      <c r="DA42" s="247">
        <v>174</v>
      </c>
      <c r="DB42" s="599" t="s">
        <v>243</v>
      </c>
      <c r="DC42" s="247">
        <v>1675</v>
      </c>
      <c r="DD42" s="247">
        <v>1200</v>
      </c>
      <c r="DE42" s="247">
        <v>0</v>
      </c>
      <c r="DF42" s="247">
        <v>1200</v>
      </c>
    </row>
    <row r="43" spans="1:113" ht="18" customHeight="1" x14ac:dyDescent="0.2">
      <c r="C43" s="548"/>
      <c r="D43" s="792"/>
      <c r="E43" s="793"/>
      <c r="F43" s="793"/>
      <c r="G43" s="793"/>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3"/>
      <c r="AY43" s="793"/>
      <c r="AZ43" s="794"/>
      <c r="BB43" s="331" t="s">
        <v>444</v>
      </c>
      <c r="BC43" s="332" t="s">
        <v>446</v>
      </c>
      <c r="BD43" s="334"/>
      <c r="DA43" s="247">
        <v>178</v>
      </c>
      <c r="DB43" s="599" t="s">
        <v>244</v>
      </c>
      <c r="DC43" s="247">
        <v>562900</v>
      </c>
      <c r="DD43" s="247">
        <v>222000</v>
      </c>
      <c r="DE43" s="247">
        <v>52000</v>
      </c>
      <c r="DF43" s="247">
        <v>832000</v>
      </c>
    </row>
    <row r="44" spans="1:113" ht="18" customHeight="1" x14ac:dyDescent="0.2">
      <c r="C44" s="548"/>
      <c r="D44" s="792"/>
      <c r="E44" s="793"/>
      <c r="F44" s="793"/>
      <c r="G44" s="793"/>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3"/>
      <c r="AY44" s="793"/>
      <c r="AZ44" s="794"/>
      <c r="BD44" s="334"/>
      <c r="DA44" s="247">
        <v>188</v>
      </c>
      <c r="DB44" s="599" t="s">
        <v>245</v>
      </c>
      <c r="DC44" s="247">
        <v>149500</v>
      </c>
      <c r="DD44" s="247">
        <v>113000</v>
      </c>
      <c r="DE44" s="247">
        <v>0</v>
      </c>
      <c r="DF44" s="247">
        <v>113000</v>
      </c>
    </row>
    <row r="45" spans="1:113" ht="18" customHeight="1" x14ac:dyDescent="0.2">
      <c r="C45" s="548"/>
      <c r="D45" s="792"/>
      <c r="E45" s="793"/>
      <c r="F45" s="793"/>
      <c r="G45" s="793"/>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3"/>
      <c r="AY45" s="793"/>
      <c r="AZ45" s="794"/>
      <c r="DA45" s="247">
        <v>384</v>
      </c>
      <c r="DB45" s="599" t="s">
        <v>94</v>
      </c>
      <c r="DC45" s="247">
        <v>434700</v>
      </c>
      <c r="DD45" s="247">
        <v>76840</v>
      </c>
      <c r="DE45" s="247">
        <v>4300</v>
      </c>
      <c r="DF45" s="247">
        <v>84140</v>
      </c>
    </row>
    <row r="46" spans="1:113" ht="18.75" customHeight="1" x14ac:dyDescent="0.2">
      <c r="C46" s="548"/>
      <c r="D46" s="792"/>
      <c r="E46" s="793"/>
      <c r="F46" s="793"/>
      <c r="G46" s="793"/>
      <c r="H46" s="793"/>
      <c r="I46" s="793"/>
      <c r="J46" s="793"/>
      <c r="K46" s="793"/>
      <c r="L46" s="793"/>
      <c r="M46" s="793"/>
      <c r="N46" s="793"/>
      <c r="O46" s="793"/>
      <c r="P46" s="793"/>
      <c r="Q46" s="793"/>
      <c r="R46" s="793"/>
      <c r="S46" s="793"/>
      <c r="T46" s="793"/>
      <c r="U46" s="793"/>
      <c r="V46" s="793"/>
      <c r="W46" s="793"/>
      <c r="X46" s="793"/>
      <c r="Y46" s="793"/>
      <c r="Z46" s="793"/>
      <c r="AA46" s="793"/>
      <c r="AB46" s="793"/>
      <c r="AC46" s="793"/>
      <c r="AD46" s="793"/>
      <c r="AE46" s="793"/>
      <c r="AF46" s="793"/>
      <c r="AG46" s="793"/>
      <c r="AH46" s="793"/>
      <c r="AI46" s="793"/>
      <c r="AJ46" s="793"/>
      <c r="AK46" s="793"/>
      <c r="AL46" s="793"/>
      <c r="AM46" s="793"/>
      <c r="AN46" s="793"/>
      <c r="AO46" s="793"/>
      <c r="AP46" s="793"/>
      <c r="AQ46" s="793"/>
      <c r="AR46" s="793"/>
      <c r="AS46" s="793"/>
      <c r="AT46" s="793"/>
      <c r="AU46" s="793"/>
      <c r="AV46" s="793"/>
      <c r="AW46" s="793"/>
      <c r="AX46" s="793"/>
      <c r="AY46" s="793"/>
      <c r="AZ46" s="794"/>
      <c r="BD46" s="334"/>
      <c r="DA46" s="247">
        <v>191</v>
      </c>
      <c r="DB46" s="599" t="s">
        <v>246</v>
      </c>
      <c r="DC46" s="247">
        <v>62980</v>
      </c>
      <c r="DD46" s="247">
        <v>37700</v>
      </c>
      <c r="DE46" s="247">
        <v>33470</v>
      </c>
      <c r="DF46" s="247">
        <v>105500</v>
      </c>
    </row>
    <row r="47" spans="1:113" ht="18" customHeight="1" x14ac:dyDescent="0.2">
      <c r="C47" s="548"/>
      <c r="D47" s="792"/>
      <c r="E47" s="793"/>
      <c r="F47" s="793"/>
      <c r="G47" s="793"/>
      <c r="H47" s="793"/>
      <c r="I47" s="793"/>
      <c r="J47" s="793"/>
      <c r="K47" s="793"/>
      <c r="L47" s="793"/>
      <c r="M47" s="793"/>
      <c r="N47" s="793"/>
      <c r="O47" s="793"/>
      <c r="P47" s="793"/>
      <c r="Q47" s="793"/>
      <c r="R47" s="793"/>
      <c r="S47" s="793"/>
      <c r="T47" s="793"/>
      <c r="U47" s="793"/>
      <c r="V47" s="793"/>
      <c r="W47" s="793"/>
      <c r="X47" s="793"/>
      <c r="Y47" s="793"/>
      <c r="Z47" s="793"/>
      <c r="AA47" s="793"/>
      <c r="AB47" s="793"/>
      <c r="AC47" s="793"/>
      <c r="AD47" s="793"/>
      <c r="AE47" s="793"/>
      <c r="AF47" s="793"/>
      <c r="AG47" s="793"/>
      <c r="AH47" s="793"/>
      <c r="AI47" s="793"/>
      <c r="AJ47" s="793"/>
      <c r="AK47" s="793"/>
      <c r="AL47" s="793"/>
      <c r="AM47" s="793"/>
      <c r="AN47" s="793"/>
      <c r="AO47" s="793"/>
      <c r="AP47" s="793"/>
      <c r="AQ47" s="793"/>
      <c r="AR47" s="793"/>
      <c r="AS47" s="793"/>
      <c r="AT47" s="793"/>
      <c r="AU47" s="793"/>
      <c r="AV47" s="793"/>
      <c r="AW47" s="793"/>
      <c r="AX47" s="793"/>
      <c r="AY47" s="793"/>
      <c r="AZ47" s="794"/>
      <c r="BB47" s="334"/>
      <c r="BC47" s="334"/>
      <c r="BD47" s="334"/>
      <c r="DA47" s="247">
        <v>192</v>
      </c>
      <c r="DB47" s="599" t="s">
        <v>247</v>
      </c>
      <c r="DC47" s="247">
        <v>146700</v>
      </c>
      <c r="DD47" s="247">
        <v>38120</v>
      </c>
      <c r="DE47" s="247">
        <v>0</v>
      </c>
      <c r="DF47" s="247">
        <v>38120</v>
      </c>
    </row>
    <row r="48" spans="1:113" ht="18" customHeight="1" x14ac:dyDescent="0.2">
      <c r="C48" s="548"/>
      <c r="D48" s="792"/>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L48" s="793"/>
      <c r="AM48" s="793"/>
      <c r="AN48" s="793"/>
      <c r="AO48" s="793"/>
      <c r="AP48" s="793"/>
      <c r="AQ48" s="793"/>
      <c r="AR48" s="793"/>
      <c r="AS48" s="793"/>
      <c r="AT48" s="793"/>
      <c r="AU48" s="793"/>
      <c r="AV48" s="793"/>
      <c r="AW48" s="793"/>
      <c r="AX48" s="793"/>
      <c r="AY48" s="793"/>
      <c r="AZ48" s="794"/>
      <c r="DA48" s="247">
        <v>196</v>
      </c>
      <c r="DB48" s="599" t="s">
        <v>248</v>
      </c>
      <c r="DC48" s="247">
        <v>4606</v>
      </c>
      <c r="DD48" s="247">
        <v>780</v>
      </c>
      <c r="DE48" s="247">
        <v>0</v>
      </c>
      <c r="DF48" s="247">
        <v>780</v>
      </c>
    </row>
    <row r="49" spans="3:110" ht="18.75" customHeight="1" x14ac:dyDescent="0.2">
      <c r="C49" s="548"/>
      <c r="D49" s="792"/>
      <c r="E49" s="793"/>
      <c r="F49" s="793"/>
      <c r="G49" s="793"/>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3"/>
      <c r="AY49" s="793"/>
      <c r="AZ49" s="794"/>
      <c r="DA49" s="247">
        <v>408</v>
      </c>
      <c r="DB49" s="599" t="s">
        <v>95</v>
      </c>
      <c r="DC49" s="247">
        <v>127000</v>
      </c>
      <c r="DD49" s="247">
        <v>67000</v>
      </c>
      <c r="DE49" s="247">
        <v>0</v>
      </c>
      <c r="DF49" s="247">
        <v>77150</v>
      </c>
    </row>
    <row r="50" spans="3:110" ht="20.25" customHeight="1" x14ac:dyDescent="0.2">
      <c r="C50" s="548"/>
      <c r="D50" s="792"/>
      <c r="E50" s="793"/>
      <c r="F50" s="793"/>
      <c r="G50" s="793"/>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3"/>
      <c r="AY50" s="793"/>
      <c r="AZ50" s="794"/>
      <c r="DA50" s="247">
        <v>180</v>
      </c>
      <c r="DB50" s="599" t="s">
        <v>96</v>
      </c>
      <c r="DC50" s="247">
        <v>3618000</v>
      </c>
      <c r="DD50" s="247">
        <v>900000</v>
      </c>
      <c r="DE50" s="247">
        <v>383000</v>
      </c>
      <c r="DF50" s="247">
        <v>1283000</v>
      </c>
    </row>
    <row r="51" spans="3:110" ht="18" customHeight="1" x14ac:dyDescent="0.2">
      <c r="C51" s="548"/>
      <c r="D51" s="792"/>
      <c r="E51" s="793"/>
      <c r="F51" s="793"/>
      <c r="G51" s="793"/>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3"/>
      <c r="AY51" s="793"/>
      <c r="AZ51" s="794"/>
      <c r="DA51" s="247">
        <v>262</v>
      </c>
      <c r="DB51" s="599" t="s">
        <v>249</v>
      </c>
      <c r="DC51" s="247">
        <v>5104</v>
      </c>
      <c r="DD51" s="247">
        <v>300</v>
      </c>
      <c r="DE51" s="247">
        <v>0</v>
      </c>
      <c r="DF51" s="247">
        <v>300</v>
      </c>
    </row>
    <row r="52" spans="3:110" ht="18" customHeight="1" x14ac:dyDescent="0.2">
      <c r="C52" s="548"/>
      <c r="D52" s="792"/>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3"/>
      <c r="AY52" s="793"/>
      <c r="AZ52" s="794"/>
      <c r="DA52" s="247">
        <v>212</v>
      </c>
      <c r="DB52" s="599" t="s">
        <v>250</v>
      </c>
      <c r="DC52" s="247">
        <v>1562</v>
      </c>
      <c r="DD52" s="247">
        <v>200</v>
      </c>
      <c r="DE52" s="247">
        <v>0</v>
      </c>
      <c r="DF52" s="247">
        <v>200</v>
      </c>
    </row>
    <row r="53" spans="3:110" ht="18" customHeight="1" x14ac:dyDescent="0.2">
      <c r="C53" s="548"/>
      <c r="D53" s="792"/>
      <c r="E53" s="793"/>
      <c r="F53" s="793"/>
      <c r="G53" s="793"/>
      <c r="H53" s="793"/>
      <c r="I53" s="793"/>
      <c r="J53" s="793"/>
      <c r="K53" s="793"/>
      <c r="L53" s="793"/>
      <c r="M53" s="793"/>
      <c r="N53" s="793"/>
      <c r="O53" s="793"/>
      <c r="P53" s="793"/>
      <c r="Q53" s="793"/>
      <c r="R53" s="793"/>
      <c r="S53" s="793"/>
      <c r="T53" s="793"/>
      <c r="U53" s="793"/>
      <c r="V53" s="793"/>
      <c r="W53" s="793"/>
      <c r="X53" s="793"/>
      <c r="Y53" s="793"/>
      <c r="Z53" s="793"/>
      <c r="AA53" s="793"/>
      <c r="AB53" s="793"/>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793"/>
      <c r="AY53" s="793"/>
      <c r="AZ53" s="794"/>
      <c r="DA53" s="247">
        <v>214</v>
      </c>
      <c r="DB53" s="599" t="s">
        <v>251</v>
      </c>
      <c r="DC53" s="247">
        <v>68620</v>
      </c>
      <c r="DD53" s="247">
        <v>23500</v>
      </c>
      <c r="DE53" s="247">
        <v>0</v>
      </c>
      <c r="DF53" s="247">
        <v>23500</v>
      </c>
    </row>
    <row r="54" spans="3:110" ht="18.75" customHeight="1" x14ac:dyDescent="0.2">
      <c r="C54" s="548"/>
      <c r="D54" s="792"/>
      <c r="E54" s="793"/>
      <c r="F54" s="793"/>
      <c r="G54" s="793"/>
      <c r="H54" s="793"/>
      <c r="I54" s="793"/>
      <c r="J54" s="793"/>
      <c r="K54" s="793"/>
      <c r="L54" s="793"/>
      <c r="M54" s="793"/>
      <c r="N54" s="793"/>
      <c r="O54" s="793"/>
      <c r="P54" s="793"/>
      <c r="Q54" s="793"/>
      <c r="R54" s="793"/>
      <c r="S54" s="793"/>
      <c r="T54" s="793"/>
      <c r="U54" s="793"/>
      <c r="V54" s="793"/>
      <c r="W54" s="793"/>
      <c r="X54" s="793"/>
      <c r="Y54" s="793"/>
      <c r="Z54" s="793"/>
      <c r="AA54" s="793"/>
      <c r="AB54" s="793"/>
      <c r="AC54" s="793"/>
      <c r="AD54" s="793"/>
      <c r="AE54" s="793"/>
      <c r="AF54" s="793"/>
      <c r="AG54" s="793"/>
      <c r="AH54" s="793"/>
      <c r="AI54" s="793"/>
      <c r="AJ54" s="793"/>
      <c r="AK54" s="793"/>
      <c r="AL54" s="793"/>
      <c r="AM54" s="793"/>
      <c r="AN54" s="793"/>
      <c r="AO54" s="793"/>
      <c r="AP54" s="793"/>
      <c r="AQ54" s="793"/>
      <c r="AR54" s="793"/>
      <c r="AS54" s="793"/>
      <c r="AT54" s="793"/>
      <c r="AU54" s="793"/>
      <c r="AV54" s="793"/>
      <c r="AW54" s="793"/>
      <c r="AX54" s="793"/>
      <c r="AY54" s="793"/>
      <c r="AZ54" s="794"/>
      <c r="DA54" s="247">
        <v>218</v>
      </c>
      <c r="DB54" s="599" t="s">
        <v>252</v>
      </c>
      <c r="DC54" s="247">
        <v>583000</v>
      </c>
      <c r="DD54" s="247">
        <v>442400</v>
      </c>
      <c r="DE54" s="247">
        <v>0</v>
      </c>
      <c r="DF54" s="247">
        <v>442400</v>
      </c>
    </row>
    <row r="55" spans="3:110" ht="18" customHeight="1" x14ac:dyDescent="0.2">
      <c r="C55" s="548"/>
      <c r="D55" s="792"/>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3"/>
      <c r="AJ55" s="793"/>
      <c r="AK55" s="793"/>
      <c r="AL55" s="793"/>
      <c r="AM55" s="793"/>
      <c r="AN55" s="793"/>
      <c r="AO55" s="793"/>
      <c r="AP55" s="793"/>
      <c r="AQ55" s="793"/>
      <c r="AR55" s="793"/>
      <c r="AS55" s="793"/>
      <c r="AT55" s="793"/>
      <c r="AU55" s="793"/>
      <c r="AV55" s="793"/>
      <c r="AW55" s="793"/>
      <c r="AX55" s="793"/>
      <c r="AY55" s="793"/>
      <c r="AZ55" s="794"/>
      <c r="DA55" s="247">
        <v>818</v>
      </c>
      <c r="DB55" s="599" t="s">
        <v>253</v>
      </c>
      <c r="DC55" s="247">
        <v>51070</v>
      </c>
      <c r="DD55" s="247">
        <v>1800</v>
      </c>
      <c r="DE55" s="247">
        <v>84000</v>
      </c>
      <c r="DF55" s="247">
        <v>58300</v>
      </c>
    </row>
    <row r="56" spans="3:110" ht="18" customHeight="1" x14ac:dyDescent="0.2">
      <c r="C56" s="548"/>
      <c r="D56" s="792"/>
      <c r="E56" s="793"/>
      <c r="F56" s="793"/>
      <c r="G56" s="793"/>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3"/>
      <c r="AY56" s="793"/>
      <c r="AZ56" s="794"/>
      <c r="DA56" s="247">
        <v>222</v>
      </c>
      <c r="DB56" s="599" t="s">
        <v>254</v>
      </c>
      <c r="DC56" s="247">
        <v>37540</v>
      </c>
      <c r="DD56" s="247">
        <v>15630</v>
      </c>
      <c r="DE56" s="247">
        <v>10640</v>
      </c>
      <c r="DF56" s="247">
        <v>26270</v>
      </c>
    </row>
    <row r="57" spans="3:110" ht="18" customHeight="1" x14ac:dyDescent="0.2">
      <c r="C57" s="548"/>
      <c r="D57" s="792"/>
      <c r="E57" s="793"/>
      <c r="F57" s="793"/>
      <c r="G57" s="793"/>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3"/>
      <c r="AY57" s="793"/>
      <c r="AZ57" s="794"/>
      <c r="DA57" s="247">
        <v>226</v>
      </c>
      <c r="DB57" s="599" t="s">
        <v>255</v>
      </c>
      <c r="DC57" s="247">
        <v>60480</v>
      </c>
      <c r="DD57" s="247">
        <v>26000</v>
      </c>
      <c r="DE57" s="247">
        <v>0</v>
      </c>
      <c r="DF57" s="247">
        <v>26000</v>
      </c>
    </row>
    <row r="58" spans="3:110" ht="16.5" customHeight="1" x14ac:dyDescent="0.2">
      <c r="C58" s="549"/>
      <c r="D58" s="799"/>
      <c r="E58" s="800"/>
      <c r="F58" s="800"/>
      <c r="G58" s="800"/>
      <c r="H58" s="800"/>
      <c r="I58" s="800"/>
      <c r="J58" s="800"/>
      <c r="K58" s="800"/>
      <c r="L58" s="800"/>
      <c r="M58" s="800"/>
      <c r="N58" s="800"/>
      <c r="O58" s="800"/>
      <c r="P58" s="800"/>
      <c r="Q58" s="800"/>
      <c r="R58" s="800"/>
      <c r="S58" s="800"/>
      <c r="T58" s="800"/>
      <c r="U58" s="800"/>
      <c r="V58" s="800"/>
      <c r="W58" s="800"/>
      <c r="X58" s="800"/>
      <c r="Y58" s="800"/>
      <c r="Z58" s="800"/>
      <c r="AA58" s="800"/>
      <c r="AB58" s="800"/>
      <c r="AC58" s="800"/>
      <c r="AD58" s="800"/>
      <c r="AE58" s="800"/>
      <c r="AF58" s="800"/>
      <c r="AG58" s="800"/>
      <c r="AH58" s="800"/>
      <c r="AI58" s="800"/>
      <c r="AJ58" s="800"/>
      <c r="AK58" s="800"/>
      <c r="AL58" s="800"/>
      <c r="AM58" s="800"/>
      <c r="AN58" s="800"/>
      <c r="AO58" s="800"/>
      <c r="AP58" s="800"/>
      <c r="AQ58" s="800"/>
      <c r="AR58" s="800"/>
      <c r="AS58" s="800"/>
      <c r="AT58" s="800"/>
      <c r="AU58" s="800"/>
      <c r="AV58" s="800"/>
      <c r="AW58" s="800"/>
      <c r="AX58" s="800"/>
      <c r="AY58" s="800"/>
      <c r="AZ58" s="801"/>
      <c r="DA58" s="247">
        <v>232</v>
      </c>
      <c r="DB58" s="599" t="s">
        <v>256</v>
      </c>
      <c r="DC58" s="247">
        <v>45160</v>
      </c>
      <c r="DD58" s="247">
        <v>2800</v>
      </c>
      <c r="DE58" s="247">
        <v>700</v>
      </c>
      <c r="DF58" s="247">
        <v>7315</v>
      </c>
    </row>
    <row r="59" spans="3:110" x14ac:dyDescent="0.2">
      <c r="C59" s="797"/>
      <c r="D59" s="798"/>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335"/>
      <c r="AQ59" s="335"/>
      <c r="AR59" s="335"/>
      <c r="AS59" s="335"/>
      <c r="DA59" s="247">
        <v>231</v>
      </c>
      <c r="DB59" s="599" t="s">
        <v>257</v>
      </c>
      <c r="DC59" s="247">
        <v>936400</v>
      </c>
      <c r="DD59" s="247">
        <v>122000</v>
      </c>
      <c r="DE59" s="247">
        <v>0</v>
      </c>
      <c r="DF59" s="247">
        <v>122000</v>
      </c>
    </row>
    <row r="60" spans="3:110" x14ac:dyDescent="0.2">
      <c r="C60" s="798"/>
      <c r="D60" s="798"/>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98"/>
      <c r="AN60" s="798"/>
      <c r="AO60" s="798"/>
      <c r="AP60" s="335"/>
      <c r="AQ60" s="335"/>
      <c r="AR60" s="335"/>
      <c r="AS60" s="335"/>
      <c r="DA60" s="247">
        <v>234</v>
      </c>
      <c r="DB60" s="599" t="s">
        <v>550</v>
      </c>
      <c r="DC60" s="247"/>
      <c r="DD60" s="247"/>
      <c r="DE60" s="247">
        <v>0</v>
      </c>
      <c r="DF60" s="247"/>
    </row>
    <row r="61" spans="3:110" x14ac:dyDescent="0.2">
      <c r="DA61" s="247">
        <v>242</v>
      </c>
      <c r="DB61" s="599" t="s">
        <v>258</v>
      </c>
      <c r="DC61" s="247">
        <v>47360</v>
      </c>
      <c r="DD61" s="247">
        <v>28550</v>
      </c>
      <c r="DE61" s="247">
        <v>0</v>
      </c>
      <c r="DF61" s="247">
        <v>28550</v>
      </c>
    </row>
    <row r="62" spans="3:110" x14ac:dyDescent="0.2">
      <c r="DA62" s="247">
        <v>254</v>
      </c>
      <c r="DB62" s="599" t="s">
        <v>259</v>
      </c>
      <c r="DC62" s="247"/>
      <c r="DD62" s="247"/>
      <c r="DE62" s="247"/>
      <c r="DF62" s="247"/>
    </row>
    <row r="63" spans="3:110" x14ac:dyDescent="0.2">
      <c r="DA63" s="247">
        <v>266</v>
      </c>
      <c r="DB63" s="599" t="s">
        <v>260</v>
      </c>
      <c r="DC63" s="247">
        <v>490100</v>
      </c>
      <c r="DD63" s="247">
        <v>164000</v>
      </c>
      <c r="DE63" s="247">
        <v>2000</v>
      </c>
      <c r="DF63" s="247">
        <v>166000</v>
      </c>
    </row>
    <row r="64" spans="3:110" x14ac:dyDescent="0.2">
      <c r="DA64" s="247">
        <v>270</v>
      </c>
      <c r="DB64" s="599" t="s">
        <v>261</v>
      </c>
      <c r="DC64" s="247">
        <v>9447</v>
      </c>
      <c r="DD64" s="247">
        <v>3000</v>
      </c>
      <c r="DE64" s="247">
        <v>5000</v>
      </c>
      <c r="DF64" s="247">
        <v>8000</v>
      </c>
    </row>
    <row r="65" spans="105:110" x14ac:dyDescent="0.2">
      <c r="DA65" s="247">
        <v>268</v>
      </c>
      <c r="DB65" s="599" t="s">
        <v>262</v>
      </c>
      <c r="DC65" s="247">
        <v>71510</v>
      </c>
      <c r="DD65" s="247">
        <v>58130</v>
      </c>
      <c r="DE65" s="247">
        <v>8350</v>
      </c>
      <c r="DF65" s="247">
        <v>63330</v>
      </c>
    </row>
    <row r="66" spans="105:110" x14ac:dyDescent="0.2">
      <c r="DA66" s="247">
        <v>288</v>
      </c>
      <c r="DB66" s="599" t="s">
        <v>263</v>
      </c>
      <c r="DC66" s="247">
        <v>283100</v>
      </c>
      <c r="DD66" s="247">
        <v>30300</v>
      </c>
      <c r="DE66" s="247">
        <v>25900</v>
      </c>
      <c r="DF66" s="247">
        <v>56200</v>
      </c>
    </row>
    <row r="67" spans="105:110" x14ac:dyDescent="0.2">
      <c r="DA67" s="247">
        <v>304</v>
      </c>
      <c r="DB67" s="599" t="s">
        <v>264</v>
      </c>
      <c r="DC67" s="247"/>
      <c r="DD67" s="247"/>
      <c r="DE67" s="247"/>
      <c r="DF67" s="247"/>
    </row>
    <row r="68" spans="105:110" x14ac:dyDescent="0.2">
      <c r="DA68" s="247">
        <v>308</v>
      </c>
      <c r="DB68" s="599" t="s">
        <v>265</v>
      </c>
      <c r="DC68" s="247">
        <v>799</v>
      </c>
      <c r="DD68" s="247">
        <v>200</v>
      </c>
      <c r="DE68" s="247">
        <v>0</v>
      </c>
      <c r="DF68" s="247">
        <v>200</v>
      </c>
    </row>
    <row r="69" spans="105:110" x14ac:dyDescent="0.2">
      <c r="DA69" s="247">
        <v>312</v>
      </c>
      <c r="DB69" s="599" t="s">
        <v>266</v>
      </c>
      <c r="DC69" s="247"/>
      <c r="DD69" s="247"/>
      <c r="DE69" s="247"/>
      <c r="DF69" s="247"/>
    </row>
    <row r="70" spans="105:110" x14ac:dyDescent="0.2">
      <c r="DA70" s="247">
        <v>320</v>
      </c>
      <c r="DB70" s="599" t="s">
        <v>267</v>
      </c>
      <c r="DC70" s="247">
        <v>217300</v>
      </c>
      <c r="DD70" s="247">
        <v>109200</v>
      </c>
      <c r="DE70" s="247">
        <v>18710</v>
      </c>
      <c r="DF70" s="247">
        <v>127900</v>
      </c>
    </row>
    <row r="71" spans="105:110" x14ac:dyDescent="0.2">
      <c r="DA71" s="247">
        <v>324</v>
      </c>
      <c r="DB71" s="599" t="s">
        <v>268</v>
      </c>
      <c r="DC71" s="247">
        <v>405900</v>
      </c>
      <c r="DD71" s="247">
        <v>226000</v>
      </c>
      <c r="DE71" s="247">
        <v>0</v>
      </c>
      <c r="DF71" s="247">
        <v>226000</v>
      </c>
    </row>
    <row r="72" spans="105:110" x14ac:dyDescent="0.2">
      <c r="DA72" s="247">
        <v>624</v>
      </c>
      <c r="DB72" s="599" t="s">
        <v>269</v>
      </c>
      <c r="DC72" s="247">
        <v>56980</v>
      </c>
      <c r="DD72" s="247">
        <v>16000</v>
      </c>
      <c r="DE72" s="247">
        <v>15400</v>
      </c>
      <c r="DF72" s="247">
        <v>31400</v>
      </c>
    </row>
    <row r="73" spans="105:110" x14ac:dyDescent="0.2">
      <c r="DA73" s="247">
        <v>328</v>
      </c>
      <c r="DB73" s="599" t="s">
        <v>274</v>
      </c>
      <c r="DC73" s="247">
        <v>513100</v>
      </c>
      <c r="DD73" s="247">
        <v>241000</v>
      </c>
      <c r="DE73" s="247">
        <v>30000</v>
      </c>
      <c r="DF73" s="247">
        <v>271000</v>
      </c>
    </row>
    <row r="74" spans="105:110" x14ac:dyDescent="0.2">
      <c r="DA74" s="247">
        <v>332</v>
      </c>
      <c r="DB74" s="599" t="s">
        <v>275</v>
      </c>
      <c r="DC74" s="247">
        <v>39960</v>
      </c>
      <c r="DD74" s="247">
        <v>13010</v>
      </c>
      <c r="DE74" s="247">
        <v>1014.9999999999999</v>
      </c>
      <c r="DF74" s="247">
        <v>14030</v>
      </c>
    </row>
    <row r="75" spans="105:110" x14ac:dyDescent="0.2">
      <c r="DA75" s="247">
        <v>336</v>
      </c>
      <c r="DB75" s="599" t="s">
        <v>551</v>
      </c>
      <c r="DC75" s="247"/>
      <c r="DD75" s="247"/>
      <c r="DE75" s="247"/>
      <c r="DF75" s="247"/>
    </row>
    <row r="76" spans="105:110" x14ac:dyDescent="0.2">
      <c r="DA76" s="247">
        <v>340</v>
      </c>
      <c r="DB76" s="599" t="s">
        <v>276</v>
      </c>
      <c r="DC76" s="247">
        <v>222300</v>
      </c>
      <c r="DD76" s="247">
        <v>90660</v>
      </c>
      <c r="DE76" s="247">
        <v>1504</v>
      </c>
      <c r="DF76" s="247">
        <v>92160</v>
      </c>
    </row>
    <row r="77" spans="105:110" x14ac:dyDescent="0.2">
      <c r="DA77" s="247">
        <v>356</v>
      </c>
      <c r="DB77" s="599" t="s">
        <v>277</v>
      </c>
      <c r="DC77" s="247">
        <v>3560000</v>
      </c>
      <c r="DD77" s="247">
        <v>1446000</v>
      </c>
      <c r="DE77" s="247">
        <v>635200</v>
      </c>
      <c r="DF77" s="247">
        <v>1911000</v>
      </c>
    </row>
    <row r="78" spans="105:110" x14ac:dyDescent="0.2">
      <c r="DA78" s="247">
        <v>360</v>
      </c>
      <c r="DB78" s="599" t="s">
        <v>278</v>
      </c>
      <c r="DC78" s="247">
        <v>5163000</v>
      </c>
      <c r="DD78" s="247">
        <v>2019000</v>
      </c>
      <c r="DE78" s="247">
        <v>0</v>
      </c>
      <c r="DF78" s="247">
        <v>2019000</v>
      </c>
    </row>
    <row r="79" spans="105:110" x14ac:dyDescent="0.2">
      <c r="DA79" s="247">
        <v>364</v>
      </c>
      <c r="DB79" s="599" t="s">
        <v>279</v>
      </c>
      <c r="DC79" s="247">
        <v>397900</v>
      </c>
      <c r="DD79" s="247">
        <v>128500</v>
      </c>
      <c r="DE79" s="247">
        <v>7770</v>
      </c>
      <c r="DF79" s="247">
        <v>137000</v>
      </c>
    </row>
    <row r="80" spans="105:110" x14ac:dyDescent="0.2">
      <c r="DA80" s="247">
        <v>368</v>
      </c>
      <c r="DB80" s="599" t="s">
        <v>280</v>
      </c>
      <c r="DC80" s="247">
        <v>93970</v>
      </c>
      <c r="DD80" s="247">
        <v>35200</v>
      </c>
      <c r="DE80" s="247">
        <v>61330</v>
      </c>
      <c r="DF80" s="247">
        <v>89860</v>
      </c>
    </row>
    <row r="81" spans="105:110" x14ac:dyDescent="0.2">
      <c r="DA81" s="247">
        <v>376</v>
      </c>
      <c r="DB81" s="599" t="s">
        <v>281</v>
      </c>
      <c r="DC81" s="247">
        <v>9600</v>
      </c>
      <c r="DD81" s="247">
        <v>750</v>
      </c>
      <c r="DE81" s="247">
        <v>305</v>
      </c>
      <c r="DF81" s="247">
        <v>1780</v>
      </c>
    </row>
    <row r="82" spans="105:110" x14ac:dyDescent="0.2">
      <c r="DA82" s="247">
        <v>388</v>
      </c>
      <c r="DB82" s="599" t="s">
        <v>282</v>
      </c>
      <c r="DC82" s="247">
        <v>22540</v>
      </c>
      <c r="DD82" s="247">
        <v>10820</v>
      </c>
      <c r="DE82" s="247">
        <v>0</v>
      </c>
      <c r="DF82" s="247">
        <v>10820</v>
      </c>
    </row>
    <row r="83" spans="105:110" x14ac:dyDescent="0.2">
      <c r="DA83" s="247">
        <v>400</v>
      </c>
      <c r="DB83" s="599" t="s">
        <v>283</v>
      </c>
      <c r="DC83" s="247">
        <v>9915</v>
      </c>
      <c r="DD83" s="247">
        <v>682</v>
      </c>
      <c r="DE83" s="247">
        <v>400</v>
      </c>
      <c r="DF83" s="247">
        <v>937</v>
      </c>
    </row>
    <row r="84" spans="105:110" x14ac:dyDescent="0.2">
      <c r="DA84" s="247">
        <v>398</v>
      </c>
      <c r="DB84" s="599" t="s">
        <v>284</v>
      </c>
      <c r="DC84" s="247">
        <v>681200</v>
      </c>
      <c r="DD84" s="247">
        <v>64349.999999999993</v>
      </c>
      <c r="DE84" s="247">
        <v>72040</v>
      </c>
      <c r="DF84" s="247">
        <v>108400</v>
      </c>
    </row>
    <row r="85" spans="105:110" x14ac:dyDescent="0.2">
      <c r="DA85" s="247">
        <v>404</v>
      </c>
      <c r="DB85" s="599" t="s">
        <v>285</v>
      </c>
      <c r="DC85" s="247">
        <v>365600</v>
      </c>
      <c r="DD85" s="247">
        <v>20700</v>
      </c>
      <c r="DE85" s="247">
        <v>10000</v>
      </c>
      <c r="DF85" s="247">
        <v>30700</v>
      </c>
    </row>
    <row r="86" spans="105:110" x14ac:dyDescent="0.2">
      <c r="DA86" s="247">
        <v>296</v>
      </c>
      <c r="DB86" s="599" t="s">
        <v>97</v>
      </c>
      <c r="DC86" s="247"/>
      <c r="DD86" s="247"/>
      <c r="DE86" s="247">
        <v>0</v>
      </c>
      <c r="DF86" s="247"/>
    </row>
    <row r="87" spans="105:110" x14ac:dyDescent="0.2">
      <c r="DA87" s="247">
        <v>414</v>
      </c>
      <c r="DB87" s="599" t="s">
        <v>286</v>
      </c>
      <c r="DC87" s="247">
        <v>2156</v>
      </c>
      <c r="DD87" s="247">
        <v>0</v>
      </c>
      <c r="DE87" s="247">
        <v>0</v>
      </c>
      <c r="DF87" s="247">
        <v>20</v>
      </c>
    </row>
    <row r="88" spans="105:110" x14ac:dyDescent="0.2">
      <c r="DA88" s="247">
        <v>417</v>
      </c>
      <c r="DB88" s="599" t="s">
        <v>287</v>
      </c>
      <c r="DC88" s="247">
        <v>106600</v>
      </c>
      <c r="DD88" s="247">
        <v>48930</v>
      </c>
      <c r="DE88" s="247">
        <v>558</v>
      </c>
      <c r="DF88" s="247">
        <v>23620</v>
      </c>
    </row>
    <row r="89" spans="105:110" x14ac:dyDescent="0.2">
      <c r="DA89" s="247">
        <v>418</v>
      </c>
      <c r="DB89" s="599" t="s">
        <v>98</v>
      </c>
      <c r="DC89" s="247">
        <v>434300</v>
      </c>
      <c r="DD89" s="247">
        <v>190400</v>
      </c>
      <c r="DE89" s="247">
        <v>143100</v>
      </c>
      <c r="DF89" s="247">
        <v>333500</v>
      </c>
    </row>
    <row r="90" spans="105:110" x14ac:dyDescent="0.2">
      <c r="DA90" s="247">
        <v>428</v>
      </c>
      <c r="DB90" s="599" t="s">
        <v>288</v>
      </c>
      <c r="DC90" s="247">
        <v>43010</v>
      </c>
      <c r="DD90" s="247">
        <v>16940</v>
      </c>
      <c r="DE90" s="247">
        <v>18000</v>
      </c>
      <c r="DF90" s="247">
        <v>34940</v>
      </c>
    </row>
    <row r="91" spans="105:110" x14ac:dyDescent="0.2">
      <c r="DA91" s="247">
        <v>422</v>
      </c>
      <c r="DB91" s="599" t="s">
        <v>289</v>
      </c>
      <c r="DC91" s="247">
        <v>6907</v>
      </c>
      <c r="DD91" s="247">
        <v>4800</v>
      </c>
      <c r="DE91" s="247">
        <v>0</v>
      </c>
      <c r="DF91" s="247">
        <v>4503</v>
      </c>
    </row>
    <row r="92" spans="105:110" x14ac:dyDescent="0.2">
      <c r="DA92" s="247">
        <v>426</v>
      </c>
      <c r="DB92" s="599" t="s">
        <v>290</v>
      </c>
      <c r="DC92" s="247">
        <v>23920</v>
      </c>
      <c r="DD92" s="247">
        <v>5230</v>
      </c>
      <c r="DE92" s="247">
        <v>0</v>
      </c>
      <c r="DF92" s="247">
        <v>3022</v>
      </c>
    </row>
    <row r="93" spans="105:110" x14ac:dyDescent="0.2">
      <c r="DA93" s="247">
        <v>430</v>
      </c>
      <c r="DB93" s="599" t="s">
        <v>291</v>
      </c>
      <c r="DC93" s="247">
        <v>266300</v>
      </c>
      <c r="DD93" s="247">
        <v>200000</v>
      </c>
      <c r="DE93" s="247">
        <v>32000</v>
      </c>
      <c r="DF93" s="247">
        <v>232000</v>
      </c>
    </row>
    <row r="94" spans="105:110" x14ac:dyDescent="0.2">
      <c r="DA94" s="247">
        <v>434</v>
      </c>
      <c r="DB94" s="599" t="s">
        <v>99</v>
      </c>
      <c r="DC94" s="247">
        <v>98530</v>
      </c>
      <c r="DD94" s="247">
        <v>700</v>
      </c>
      <c r="DE94" s="247">
        <v>0</v>
      </c>
      <c r="DF94" s="247">
        <v>700</v>
      </c>
    </row>
    <row r="95" spans="105:110" x14ac:dyDescent="0.2">
      <c r="DA95" s="247">
        <v>438</v>
      </c>
      <c r="DB95" s="599" t="s">
        <v>100</v>
      </c>
      <c r="DC95" s="247"/>
      <c r="DD95" s="247"/>
      <c r="DE95" s="247"/>
      <c r="DF95" s="247"/>
    </row>
    <row r="96" spans="105:110" x14ac:dyDescent="0.2">
      <c r="DA96" s="247">
        <v>440</v>
      </c>
      <c r="DB96" s="599" t="s">
        <v>292</v>
      </c>
      <c r="DC96" s="247">
        <v>42830</v>
      </c>
      <c r="DD96" s="247">
        <v>15460</v>
      </c>
      <c r="DE96" s="247">
        <v>9040</v>
      </c>
      <c r="DF96" s="247">
        <v>24500</v>
      </c>
    </row>
    <row r="97" spans="105:110" x14ac:dyDescent="0.2">
      <c r="DA97" s="247">
        <v>450</v>
      </c>
      <c r="DB97" s="599" t="s">
        <v>293</v>
      </c>
      <c r="DC97" s="247">
        <v>888600</v>
      </c>
      <c r="DD97" s="247">
        <v>337000</v>
      </c>
      <c r="DE97" s="247">
        <v>0</v>
      </c>
      <c r="DF97" s="247">
        <v>337000</v>
      </c>
    </row>
    <row r="98" spans="105:110" x14ac:dyDescent="0.2">
      <c r="DA98" s="247">
        <v>454</v>
      </c>
      <c r="DB98" s="599" t="s">
        <v>294</v>
      </c>
      <c r="DC98" s="247">
        <v>139900</v>
      </c>
      <c r="DD98" s="247">
        <v>16140</v>
      </c>
      <c r="DE98" s="247">
        <v>1000</v>
      </c>
      <c r="DF98" s="247">
        <v>17280</v>
      </c>
    </row>
    <row r="99" spans="105:110" x14ac:dyDescent="0.2">
      <c r="DA99" s="247">
        <v>458</v>
      </c>
      <c r="DB99" s="599" t="s">
        <v>295</v>
      </c>
      <c r="DC99" s="247">
        <v>951000</v>
      </c>
      <c r="DD99" s="247">
        <v>580000</v>
      </c>
      <c r="DE99" s="247">
        <v>0</v>
      </c>
      <c r="DF99" s="247">
        <v>580000</v>
      </c>
    </row>
    <row r="100" spans="105:110" x14ac:dyDescent="0.2">
      <c r="DA100" s="247">
        <v>462</v>
      </c>
      <c r="DB100" s="599" t="s">
        <v>296</v>
      </c>
      <c r="DC100" s="247">
        <v>591.6</v>
      </c>
      <c r="DD100" s="247">
        <v>30</v>
      </c>
      <c r="DE100" s="247">
        <v>0</v>
      </c>
      <c r="DF100" s="247">
        <v>30</v>
      </c>
    </row>
    <row r="101" spans="105:110" x14ac:dyDescent="0.2">
      <c r="DA101" s="247">
        <v>466</v>
      </c>
      <c r="DB101" s="599" t="s">
        <v>297</v>
      </c>
      <c r="DC101" s="247">
        <v>349700</v>
      </c>
      <c r="DD101" s="247">
        <v>60000</v>
      </c>
      <c r="DE101" s="247">
        <v>60000</v>
      </c>
      <c r="DF101" s="247">
        <v>120000</v>
      </c>
    </row>
    <row r="102" spans="105:110" x14ac:dyDescent="0.2">
      <c r="DA102" s="247">
        <v>470</v>
      </c>
      <c r="DB102" s="599" t="s">
        <v>298</v>
      </c>
      <c r="DC102" s="247">
        <v>179.2</v>
      </c>
      <c r="DD102" s="247">
        <v>50.5</v>
      </c>
      <c r="DE102" s="247">
        <v>0</v>
      </c>
      <c r="DF102" s="247">
        <v>50.5</v>
      </c>
    </row>
    <row r="103" spans="105:110" x14ac:dyDescent="0.2">
      <c r="DA103" s="247">
        <v>584</v>
      </c>
      <c r="DB103" s="599" t="s">
        <v>101</v>
      </c>
      <c r="DC103" s="247"/>
      <c r="DD103" s="247"/>
      <c r="DE103" s="247">
        <v>0</v>
      </c>
      <c r="DF103" s="247"/>
    </row>
    <row r="104" spans="105:110" x14ac:dyDescent="0.2">
      <c r="DA104" s="247">
        <v>474</v>
      </c>
      <c r="DB104" s="599" t="s">
        <v>299</v>
      </c>
      <c r="DC104" s="247"/>
      <c r="DD104" s="247"/>
      <c r="DE104" s="247"/>
      <c r="DF104" s="247"/>
    </row>
    <row r="105" spans="105:110" x14ac:dyDescent="0.2">
      <c r="DA105" s="247">
        <v>478</v>
      </c>
      <c r="DB105" s="599" t="s">
        <v>300</v>
      </c>
      <c r="DC105" s="247">
        <v>94820</v>
      </c>
      <c r="DD105" s="247">
        <v>400</v>
      </c>
      <c r="DE105" s="247">
        <v>0</v>
      </c>
      <c r="DF105" s="247">
        <v>11400</v>
      </c>
    </row>
    <row r="106" spans="105:110" x14ac:dyDescent="0.2">
      <c r="DA106" s="247">
        <v>480</v>
      </c>
      <c r="DB106" s="599" t="s">
        <v>301</v>
      </c>
      <c r="DC106" s="247">
        <v>4164</v>
      </c>
      <c r="DD106" s="247">
        <v>2751</v>
      </c>
      <c r="DE106" s="247">
        <v>0</v>
      </c>
      <c r="DF106" s="247">
        <v>2751</v>
      </c>
    </row>
    <row r="107" spans="105:110" x14ac:dyDescent="0.2">
      <c r="DA107" s="247">
        <v>583</v>
      </c>
      <c r="DB107" s="599" t="s">
        <v>102</v>
      </c>
      <c r="DC107" s="247"/>
      <c r="DD107" s="247"/>
      <c r="DE107" s="247">
        <v>0</v>
      </c>
      <c r="DF107" s="247"/>
    </row>
    <row r="108" spans="105:110" x14ac:dyDescent="0.2">
      <c r="DA108" s="247">
        <v>492</v>
      </c>
      <c r="DB108" s="599" t="s">
        <v>103</v>
      </c>
      <c r="DC108" s="247"/>
      <c r="DD108" s="247"/>
      <c r="DE108" s="247"/>
      <c r="DF108" s="247"/>
    </row>
    <row r="109" spans="105:110" x14ac:dyDescent="0.2">
      <c r="DA109" s="247">
        <v>496</v>
      </c>
      <c r="DB109" s="599" t="s">
        <v>302</v>
      </c>
      <c r="DC109" s="247">
        <v>377000</v>
      </c>
      <c r="DD109" s="247">
        <v>34800</v>
      </c>
      <c r="DE109" s="247">
        <v>0</v>
      </c>
      <c r="DF109" s="247">
        <v>34800</v>
      </c>
    </row>
    <row r="110" spans="105:110" x14ac:dyDescent="0.2">
      <c r="DA110" s="247">
        <v>499</v>
      </c>
      <c r="DB110" s="599" t="s">
        <v>104</v>
      </c>
      <c r="DC110" s="247"/>
      <c r="DD110" s="247"/>
      <c r="DE110" s="247"/>
      <c r="DF110" s="247"/>
    </row>
    <row r="111" spans="105:110" x14ac:dyDescent="0.2">
      <c r="DA111" s="247">
        <v>504</v>
      </c>
      <c r="DB111" s="599" t="s">
        <v>303</v>
      </c>
      <c r="DC111" s="247">
        <v>154500</v>
      </c>
      <c r="DD111" s="247">
        <v>29000</v>
      </c>
      <c r="DE111" s="247">
        <v>0</v>
      </c>
      <c r="DF111" s="247">
        <v>29000</v>
      </c>
    </row>
    <row r="112" spans="105:110" x14ac:dyDescent="0.2">
      <c r="DA112" s="247">
        <v>508</v>
      </c>
      <c r="DB112" s="599" t="s">
        <v>304</v>
      </c>
      <c r="DC112" s="247">
        <v>825000</v>
      </c>
      <c r="DD112" s="247">
        <v>100300</v>
      </c>
      <c r="DE112" s="247">
        <v>116800</v>
      </c>
      <c r="DF112" s="247">
        <v>217100</v>
      </c>
    </row>
    <row r="113" spans="105:110" x14ac:dyDescent="0.2">
      <c r="DA113" s="247">
        <v>104</v>
      </c>
      <c r="DB113" s="599" t="s">
        <v>305</v>
      </c>
      <c r="DC113" s="247">
        <v>1415000</v>
      </c>
      <c r="DD113" s="247">
        <v>1003000</v>
      </c>
      <c r="DE113" s="247">
        <v>128199.99999999999</v>
      </c>
      <c r="DF113" s="247">
        <v>1168000</v>
      </c>
    </row>
    <row r="114" spans="105:110" x14ac:dyDescent="0.2">
      <c r="DA114" s="247">
        <v>516</v>
      </c>
      <c r="DB114" s="599" t="s">
        <v>306</v>
      </c>
      <c r="DC114" s="247">
        <v>234900</v>
      </c>
      <c r="DD114" s="247">
        <v>6160</v>
      </c>
      <c r="DE114" s="247">
        <v>11000</v>
      </c>
      <c r="DF114" s="247">
        <v>39910</v>
      </c>
    </row>
    <row r="115" spans="105:110" x14ac:dyDescent="0.2">
      <c r="DA115" s="247">
        <v>520</v>
      </c>
      <c r="DB115" s="599" t="s">
        <v>105</v>
      </c>
      <c r="DC115" s="247"/>
      <c r="DD115" s="247"/>
      <c r="DE115" s="247">
        <v>0</v>
      </c>
      <c r="DF115" s="247"/>
    </row>
    <row r="116" spans="105:110" x14ac:dyDescent="0.2">
      <c r="DA116" s="247">
        <v>524</v>
      </c>
      <c r="DB116" s="599" t="s">
        <v>307</v>
      </c>
      <c r="DC116" s="247">
        <v>220800</v>
      </c>
      <c r="DD116" s="247">
        <v>198200</v>
      </c>
      <c r="DE116" s="247">
        <v>12000</v>
      </c>
      <c r="DF116" s="247">
        <v>210200</v>
      </c>
    </row>
    <row r="117" spans="105:110" x14ac:dyDescent="0.2">
      <c r="DA117" s="247">
        <v>540</v>
      </c>
      <c r="DB117" s="599" t="s">
        <v>308</v>
      </c>
      <c r="DC117" s="247"/>
      <c r="DD117" s="247"/>
      <c r="DE117" s="247"/>
      <c r="DF117" s="247"/>
    </row>
    <row r="118" spans="105:110" x14ac:dyDescent="0.2">
      <c r="DA118" s="247">
        <v>558</v>
      </c>
      <c r="DB118" s="599" t="s">
        <v>309</v>
      </c>
      <c r="DC118" s="247">
        <v>297200</v>
      </c>
      <c r="DD118" s="247">
        <v>156200</v>
      </c>
      <c r="DE118" s="247">
        <v>8310</v>
      </c>
      <c r="DF118" s="247">
        <v>164500</v>
      </c>
    </row>
    <row r="119" spans="105:110" x14ac:dyDescent="0.2">
      <c r="DA119" s="247">
        <v>562</v>
      </c>
      <c r="DB119" s="599" t="s">
        <v>310</v>
      </c>
      <c r="DC119" s="247">
        <v>191300</v>
      </c>
      <c r="DD119" s="247">
        <v>3500</v>
      </c>
      <c r="DE119" s="247">
        <v>29200</v>
      </c>
      <c r="DF119" s="247">
        <v>34050</v>
      </c>
    </row>
    <row r="120" spans="105:110" x14ac:dyDescent="0.2">
      <c r="DA120" s="247">
        <v>566</v>
      </c>
      <c r="DB120" s="599" t="s">
        <v>311</v>
      </c>
      <c r="DC120" s="247">
        <v>1062000</v>
      </c>
      <c r="DD120" s="247">
        <v>221000</v>
      </c>
      <c r="DE120" s="247">
        <v>65200</v>
      </c>
      <c r="DF120" s="247">
        <v>286200</v>
      </c>
    </row>
    <row r="121" spans="105:110" x14ac:dyDescent="0.2">
      <c r="DA121" s="247">
        <v>570</v>
      </c>
      <c r="DB121" s="599" t="s">
        <v>552</v>
      </c>
      <c r="DC121" s="247"/>
      <c r="DD121" s="247"/>
      <c r="DE121" s="247">
        <v>0</v>
      </c>
      <c r="DF121" s="247"/>
    </row>
    <row r="122" spans="105:110" x14ac:dyDescent="0.2">
      <c r="DA122" s="247">
        <v>275</v>
      </c>
      <c r="DB122" s="599" t="s">
        <v>553</v>
      </c>
      <c r="DC122" s="247">
        <v>2420</v>
      </c>
      <c r="DD122" s="247">
        <v>812</v>
      </c>
      <c r="DE122" s="247">
        <v>15</v>
      </c>
      <c r="DF122" s="247">
        <v>837</v>
      </c>
    </row>
    <row r="123" spans="105:110" x14ac:dyDescent="0.2">
      <c r="DA123" s="247">
        <v>512</v>
      </c>
      <c r="DB123" s="599" t="s">
        <v>312</v>
      </c>
      <c r="DC123" s="247">
        <v>38690</v>
      </c>
      <c r="DD123" s="247">
        <v>1400</v>
      </c>
      <c r="DE123" s="247">
        <v>0</v>
      </c>
      <c r="DF123" s="247">
        <v>1400</v>
      </c>
    </row>
    <row r="124" spans="105:110" x14ac:dyDescent="0.2">
      <c r="DA124" s="247">
        <v>586</v>
      </c>
      <c r="DB124" s="599" t="s">
        <v>313</v>
      </c>
      <c r="DC124" s="247">
        <v>393300</v>
      </c>
      <c r="DD124" s="247">
        <v>55000</v>
      </c>
      <c r="DE124" s="247">
        <v>265100</v>
      </c>
      <c r="DF124" s="247">
        <v>246800</v>
      </c>
    </row>
    <row r="125" spans="105:110" x14ac:dyDescent="0.2">
      <c r="DA125" s="247">
        <v>585</v>
      </c>
      <c r="DB125" s="599" t="s">
        <v>106</v>
      </c>
      <c r="DC125" s="247"/>
      <c r="DD125" s="247"/>
      <c r="DE125" s="247">
        <v>0</v>
      </c>
      <c r="DF125" s="247"/>
    </row>
    <row r="126" spans="105:110" x14ac:dyDescent="0.2">
      <c r="DA126" s="247">
        <v>591</v>
      </c>
      <c r="DB126" s="599" t="s">
        <v>314</v>
      </c>
      <c r="DC126" s="247">
        <v>220800</v>
      </c>
      <c r="DD126" s="247">
        <v>136600</v>
      </c>
      <c r="DE126" s="247">
        <v>0</v>
      </c>
      <c r="DF126" s="247">
        <v>139300</v>
      </c>
    </row>
    <row r="127" spans="105:110" x14ac:dyDescent="0.2">
      <c r="DA127" s="247">
        <v>598</v>
      </c>
      <c r="DB127" s="599" t="s">
        <v>315</v>
      </c>
      <c r="DC127" s="247">
        <v>1454000</v>
      </c>
      <c r="DD127" s="247">
        <v>801000</v>
      </c>
      <c r="DE127" s="247">
        <v>0</v>
      </c>
      <c r="DF127" s="247">
        <v>801000</v>
      </c>
    </row>
    <row r="128" spans="105:110" x14ac:dyDescent="0.2">
      <c r="DA128" s="247">
        <v>600</v>
      </c>
      <c r="DB128" s="599" t="s">
        <v>316</v>
      </c>
      <c r="DC128" s="247">
        <v>459600</v>
      </c>
      <c r="DD128" s="247">
        <v>117000</v>
      </c>
      <c r="DE128" s="247">
        <v>73270</v>
      </c>
      <c r="DF128" s="247">
        <v>387800</v>
      </c>
    </row>
    <row r="129" spans="105:110" x14ac:dyDescent="0.2">
      <c r="DA129" s="247">
        <v>604</v>
      </c>
      <c r="DB129" s="599" t="s">
        <v>317</v>
      </c>
      <c r="DC129" s="247">
        <v>2234000</v>
      </c>
      <c r="DD129" s="247">
        <v>1641000</v>
      </c>
      <c r="DE129" s="247">
        <v>128800.00000000001</v>
      </c>
      <c r="DF129" s="247">
        <v>1880000</v>
      </c>
    </row>
    <row r="130" spans="105:110" x14ac:dyDescent="0.2">
      <c r="DA130" s="247">
        <v>608</v>
      </c>
      <c r="DB130" s="599" t="s">
        <v>318</v>
      </c>
      <c r="DC130" s="247">
        <v>704400</v>
      </c>
      <c r="DD130" s="247">
        <v>479000</v>
      </c>
      <c r="DE130" s="247">
        <v>0</v>
      </c>
      <c r="DF130" s="247">
        <v>479000</v>
      </c>
    </row>
    <row r="131" spans="105:110" x14ac:dyDescent="0.2">
      <c r="DA131" s="247">
        <v>630</v>
      </c>
      <c r="DB131" s="599" t="s">
        <v>319</v>
      </c>
      <c r="DC131" s="247">
        <v>18220</v>
      </c>
      <c r="DD131" s="247">
        <v>7100</v>
      </c>
      <c r="DE131" s="247">
        <v>0</v>
      </c>
      <c r="DF131" s="247">
        <v>7100</v>
      </c>
    </row>
    <row r="132" spans="105:110" x14ac:dyDescent="0.2">
      <c r="DA132" s="247">
        <v>634</v>
      </c>
      <c r="DB132" s="599" t="s">
        <v>320</v>
      </c>
      <c r="DC132" s="247">
        <v>859.1</v>
      </c>
      <c r="DD132" s="247">
        <v>56</v>
      </c>
      <c r="DE132" s="247">
        <v>0</v>
      </c>
      <c r="DF132" s="247">
        <v>58</v>
      </c>
    </row>
    <row r="133" spans="105:110" x14ac:dyDescent="0.2">
      <c r="DA133" s="247">
        <v>498</v>
      </c>
      <c r="DB133" s="599" t="s">
        <v>321</v>
      </c>
      <c r="DC133" s="247">
        <v>15230</v>
      </c>
      <c r="DD133" s="247">
        <v>1620</v>
      </c>
      <c r="DE133" s="247">
        <v>9200</v>
      </c>
      <c r="DF133" s="247">
        <v>12270</v>
      </c>
    </row>
    <row r="134" spans="105:110" x14ac:dyDescent="0.2">
      <c r="DA134" s="247">
        <v>638</v>
      </c>
      <c r="DB134" s="599" t="s">
        <v>322</v>
      </c>
      <c r="DC134" s="247"/>
      <c r="DD134" s="247"/>
      <c r="DE134" s="247"/>
      <c r="DF134" s="247"/>
    </row>
    <row r="135" spans="105:110" x14ac:dyDescent="0.2">
      <c r="DA135" s="247">
        <v>642</v>
      </c>
      <c r="DB135" s="599" t="s">
        <v>323</v>
      </c>
      <c r="DC135" s="247">
        <v>151900</v>
      </c>
      <c r="DD135" s="247">
        <v>42380</v>
      </c>
      <c r="DE135" s="247">
        <v>168100</v>
      </c>
      <c r="DF135" s="247">
        <v>212000</v>
      </c>
    </row>
    <row r="136" spans="105:110" x14ac:dyDescent="0.2">
      <c r="DA136" s="247">
        <v>643</v>
      </c>
      <c r="DB136" s="599" t="s">
        <v>326</v>
      </c>
      <c r="DC136" s="247">
        <v>7865000</v>
      </c>
      <c r="DD136" s="247">
        <v>4312000</v>
      </c>
      <c r="DE136" s="247">
        <v>204600</v>
      </c>
      <c r="DF136" s="247">
        <v>4525000</v>
      </c>
    </row>
    <row r="137" spans="105:110" x14ac:dyDescent="0.2">
      <c r="DA137" s="247">
        <v>646</v>
      </c>
      <c r="DB137" s="599" t="s">
        <v>327</v>
      </c>
      <c r="DC137" s="247">
        <v>31920</v>
      </c>
      <c r="DD137" s="247">
        <v>9500</v>
      </c>
      <c r="DE137" s="247">
        <v>3800</v>
      </c>
      <c r="DF137" s="247">
        <v>13300</v>
      </c>
    </row>
    <row r="138" spans="105:110" x14ac:dyDescent="0.2">
      <c r="DA138" s="247">
        <v>654</v>
      </c>
      <c r="DB138" s="599" t="s">
        <v>328</v>
      </c>
      <c r="DC138" s="247"/>
      <c r="DD138" s="247"/>
      <c r="DE138" s="247"/>
      <c r="DF138" s="247"/>
    </row>
    <row r="139" spans="105:110" x14ac:dyDescent="0.2">
      <c r="DA139" s="247">
        <v>659</v>
      </c>
      <c r="DB139" s="599" t="s">
        <v>329</v>
      </c>
      <c r="DC139" s="247">
        <v>371</v>
      </c>
      <c r="DD139" s="247">
        <v>24</v>
      </c>
      <c r="DE139" s="247">
        <v>0</v>
      </c>
      <c r="DF139" s="247">
        <v>24</v>
      </c>
    </row>
    <row r="140" spans="105:110" x14ac:dyDescent="0.2">
      <c r="DA140" s="247">
        <v>662</v>
      </c>
      <c r="DB140" s="599" t="s">
        <v>330</v>
      </c>
      <c r="DC140" s="247">
        <v>1427</v>
      </c>
      <c r="DD140" s="247">
        <v>300</v>
      </c>
      <c r="DE140" s="247">
        <v>0</v>
      </c>
      <c r="DF140" s="247">
        <v>300</v>
      </c>
    </row>
    <row r="141" spans="105:110" x14ac:dyDescent="0.2">
      <c r="DA141" s="247">
        <v>670</v>
      </c>
      <c r="DB141" s="599" t="s">
        <v>107</v>
      </c>
      <c r="DC141" s="247">
        <v>617.4</v>
      </c>
      <c r="DD141" s="247">
        <v>100</v>
      </c>
      <c r="DE141" s="247">
        <v>0</v>
      </c>
      <c r="DF141" s="247">
        <v>100</v>
      </c>
    </row>
    <row r="142" spans="105:110" x14ac:dyDescent="0.2">
      <c r="DA142" s="247">
        <v>882</v>
      </c>
      <c r="DB142" s="599" t="s">
        <v>331</v>
      </c>
      <c r="DC142" s="247">
        <v>8179</v>
      </c>
      <c r="DD142" s="247"/>
      <c r="DE142" s="247">
        <v>0</v>
      </c>
      <c r="DF142" s="247"/>
    </row>
    <row r="143" spans="105:110" x14ac:dyDescent="0.2">
      <c r="DA143" s="247">
        <v>674</v>
      </c>
      <c r="DB143" s="599" t="s">
        <v>108</v>
      </c>
      <c r="DC143" s="247"/>
      <c r="DD143" s="247"/>
      <c r="DE143" s="247"/>
      <c r="DF143" s="247"/>
    </row>
    <row r="144" spans="105:110" x14ac:dyDescent="0.2">
      <c r="DA144" s="247">
        <v>678</v>
      </c>
      <c r="DB144" s="599" t="s">
        <v>332</v>
      </c>
      <c r="DC144" s="247">
        <v>3072</v>
      </c>
      <c r="DD144" s="247">
        <v>2180</v>
      </c>
      <c r="DE144" s="247">
        <v>0</v>
      </c>
      <c r="DF144" s="247">
        <v>2180</v>
      </c>
    </row>
    <row r="145" spans="105:110" x14ac:dyDescent="0.2">
      <c r="DA145" s="247">
        <v>682</v>
      </c>
      <c r="DB145" s="599" t="s">
        <v>333</v>
      </c>
      <c r="DC145" s="247">
        <v>126800</v>
      </c>
      <c r="DD145" s="247">
        <v>2400</v>
      </c>
      <c r="DE145" s="247">
        <v>0</v>
      </c>
      <c r="DF145" s="247">
        <v>2400</v>
      </c>
    </row>
    <row r="146" spans="105:110" x14ac:dyDescent="0.2">
      <c r="DA146" s="247">
        <v>686</v>
      </c>
      <c r="DB146" s="599" t="s">
        <v>334</v>
      </c>
      <c r="DC146" s="247">
        <v>134900</v>
      </c>
      <c r="DD146" s="247">
        <v>25800</v>
      </c>
      <c r="DE146" s="247">
        <v>2170</v>
      </c>
      <c r="DF146" s="247">
        <v>38970</v>
      </c>
    </row>
    <row r="147" spans="105:110" x14ac:dyDescent="0.2">
      <c r="DA147" s="247">
        <v>891</v>
      </c>
      <c r="DB147" s="599" t="s">
        <v>109</v>
      </c>
      <c r="DC147" s="247">
        <v>49980</v>
      </c>
      <c r="DD147" s="247">
        <v>8407</v>
      </c>
      <c r="DE147" s="247"/>
      <c r="DF147" s="247">
        <v>162200</v>
      </c>
    </row>
    <row r="148" spans="105:110" x14ac:dyDescent="0.2">
      <c r="DA148" s="247">
        <v>690</v>
      </c>
      <c r="DB148" s="599" t="s">
        <v>335</v>
      </c>
      <c r="DC148" s="247">
        <v>1072</v>
      </c>
      <c r="DD148" s="247"/>
      <c r="DE148" s="247">
        <v>0</v>
      </c>
      <c r="DF148" s="247"/>
    </row>
    <row r="149" spans="105:110" x14ac:dyDescent="0.2">
      <c r="DA149" s="247">
        <v>694</v>
      </c>
      <c r="DB149" s="599" t="s">
        <v>336</v>
      </c>
      <c r="DC149" s="247">
        <v>182600</v>
      </c>
      <c r="DD149" s="247">
        <v>160000</v>
      </c>
      <c r="DE149" s="247">
        <v>0</v>
      </c>
      <c r="DF149" s="247">
        <v>160000</v>
      </c>
    </row>
    <row r="150" spans="105:110" x14ac:dyDescent="0.2">
      <c r="DA150" s="247">
        <v>702</v>
      </c>
      <c r="DB150" s="599" t="s">
        <v>337</v>
      </c>
      <c r="DC150" s="247">
        <v>1795</v>
      </c>
      <c r="DD150" s="247">
        <v>600</v>
      </c>
      <c r="DE150" s="247">
        <v>0</v>
      </c>
      <c r="DF150" s="247">
        <v>600</v>
      </c>
    </row>
    <row r="151" spans="105:110" x14ac:dyDescent="0.2">
      <c r="DA151" s="247">
        <v>703</v>
      </c>
      <c r="DB151" s="599" t="s">
        <v>338</v>
      </c>
      <c r="DC151" s="247">
        <v>40410</v>
      </c>
      <c r="DD151" s="247">
        <v>12600</v>
      </c>
      <c r="DE151" s="247">
        <v>0</v>
      </c>
      <c r="DF151" s="247">
        <v>50100</v>
      </c>
    </row>
    <row r="152" spans="105:110" x14ac:dyDescent="0.2">
      <c r="DA152" s="247">
        <v>90</v>
      </c>
      <c r="DB152" s="599" t="s">
        <v>339</v>
      </c>
      <c r="DC152" s="247">
        <v>87510</v>
      </c>
      <c r="DD152" s="247">
        <v>44700</v>
      </c>
      <c r="DE152" s="247">
        <v>0</v>
      </c>
      <c r="DF152" s="247">
        <v>44700</v>
      </c>
    </row>
    <row r="153" spans="105:110" x14ac:dyDescent="0.2">
      <c r="DA153" s="247">
        <v>706</v>
      </c>
      <c r="DB153" s="599" t="s">
        <v>340</v>
      </c>
      <c r="DC153" s="247">
        <v>179800</v>
      </c>
      <c r="DD153" s="247">
        <v>6000</v>
      </c>
      <c r="DE153" s="247">
        <v>8700</v>
      </c>
      <c r="DF153" s="247">
        <v>14700</v>
      </c>
    </row>
    <row r="154" spans="105:110" x14ac:dyDescent="0.2">
      <c r="DA154" s="247">
        <v>710</v>
      </c>
      <c r="DB154" s="599" t="s">
        <v>341</v>
      </c>
      <c r="DC154" s="247">
        <v>603400</v>
      </c>
      <c r="DD154" s="247">
        <v>44800</v>
      </c>
      <c r="DE154" s="247">
        <v>6600</v>
      </c>
      <c r="DF154" s="247">
        <v>51350</v>
      </c>
    </row>
    <row r="155" spans="105:110" x14ac:dyDescent="0.2">
      <c r="DA155" s="336">
        <v>728</v>
      </c>
      <c r="DB155" s="599" t="s">
        <v>554</v>
      </c>
      <c r="DC155" s="247">
        <v>579900</v>
      </c>
      <c r="DD155" s="247">
        <v>26000</v>
      </c>
      <c r="DE155" s="247">
        <v>50000</v>
      </c>
      <c r="DF155" s="247">
        <v>49500</v>
      </c>
    </row>
    <row r="156" spans="105:110" x14ac:dyDescent="0.2">
      <c r="DA156" s="247">
        <v>144</v>
      </c>
      <c r="DB156" s="599" t="s">
        <v>342</v>
      </c>
      <c r="DC156" s="247">
        <v>112300</v>
      </c>
      <c r="DD156" s="247">
        <v>52800</v>
      </c>
      <c r="DE156" s="247">
        <v>0</v>
      </c>
      <c r="DF156" s="247">
        <v>52800</v>
      </c>
    </row>
    <row r="157" spans="105:110" x14ac:dyDescent="0.2">
      <c r="DA157" s="247">
        <v>729</v>
      </c>
      <c r="DB157" s="599" t="s">
        <v>555</v>
      </c>
      <c r="DC157" s="247">
        <v>469800</v>
      </c>
      <c r="DD157" s="247">
        <v>4000</v>
      </c>
      <c r="DE157" s="247">
        <v>99300</v>
      </c>
      <c r="DF157" s="247">
        <v>37800</v>
      </c>
    </row>
    <row r="158" spans="105:110" x14ac:dyDescent="0.2">
      <c r="DA158" s="247">
        <v>740</v>
      </c>
      <c r="DB158" s="599" t="s">
        <v>343</v>
      </c>
      <c r="DC158" s="247">
        <v>381900</v>
      </c>
      <c r="DD158" s="247">
        <v>99000</v>
      </c>
      <c r="DE158" s="247">
        <v>0</v>
      </c>
      <c r="DF158" s="247">
        <v>99000</v>
      </c>
    </row>
    <row r="159" spans="105:110" x14ac:dyDescent="0.2">
      <c r="DA159" s="247">
        <v>748</v>
      </c>
      <c r="DB159" s="599" t="s">
        <v>344</v>
      </c>
      <c r="DC159" s="247">
        <v>13680</v>
      </c>
      <c r="DD159" s="247">
        <v>2640</v>
      </c>
      <c r="DE159" s="247">
        <v>1870</v>
      </c>
      <c r="DF159" s="247">
        <v>4510</v>
      </c>
    </row>
    <row r="160" spans="105:110" x14ac:dyDescent="0.2">
      <c r="DA160" s="247">
        <v>760</v>
      </c>
      <c r="DB160" s="599" t="s">
        <v>345</v>
      </c>
      <c r="DC160" s="247">
        <v>46670</v>
      </c>
      <c r="DD160" s="247">
        <v>7132</v>
      </c>
      <c r="DE160" s="247">
        <v>28520</v>
      </c>
      <c r="DF160" s="247">
        <v>16800</v>
      </c>
    </row>
    <row r="161" spans="105:110" x14ac:dyDescent="0.2">
      <c r="DA161" s="247">
        <v>762</v>
      </c>
      <c r="DB161" s="599" t="s">
        <v>346</v>
      </c>
      <c r="DC161" s="247">
        <v>97690</v>
      </c>
      <c r="DD161" s="247">
        <v>63460</v>
      </c>
      <c r="DE161" s="247">
        <v>34190</v>
      </c>
      <c r="DF161" s="247">
        <v>21910</v>
      </c>
    </row>
    <row r="162" spans="105:110" x14ac:dyDescent="0.2">
      <c r="DA162" s="247">
        <v>764</v>
      </c>
      <c r="DB162" s="599" t="s">
        <v>347</v>
      </c>
      <c r="DC162" s="247">
        <v>832300</v>
      </c>
      <c r="DD162" s="247">
        <v>224500</v>
      </c>
      <c r="DE162" s="247">
        <v>0</v>
      </c>
      <c r="DF162" s="247">
        <v>438600</v>
      </c>
    </row>
    <row r="163" spans="105:110" x14ac:dyDescent="0.2">
      <c r="DA163" s="247">
        <v>807</v>
      </c>
      <c r="DB163" s="599" t="s">
        <v>110</v>
      </c>
      <c r="DC163" s="247">
        <v>15910</v>
      </c>
      <c r="DD163" s="247">
        <v>5400</v>
      </c>
      <c r="DE163" s="247">
        <v>1000</v>
      </c>
      <c r="DF163" s="247">
        <v>6400</v>
      </c>
    </row>
    <row r="164" spans="105:110" x14ac:dyDescent="0.2">
      <c r="DA164" s="336">
        <v>626</v>
      </c>
      <c r="DB164" s="599" t="s">
        <v>111</v>
      </c>
      <c r="DC164" s="247">
        <v>22300</v>
      </c>
      <c r="DD164" s="247">
        <v>8215</v>
      </c>
      <c r="DE164" s="247">
        <v>0</v>
      </c>
      <c r="DF164" s="247">
        <v>8215</v>
      </c>
    </row>
    <row r="165" spans="105:110" x14ac:dyDescent="0.2">
      <c r="DA165" s="247">
        <v>768</v>
      </c>
      <c r="DB165" s="599" t="s">
        <v>348</v>
      </c>
      <c r="DC165" s="247">
        <v>66330</v>
      </c>
      <c r="DD165" s="247">
        <v>11500</v>
      </c>
      <c r="DE165" s="247">
        <v>3200</v>
      </c>
      <c r="DF165" s="247">
        <v>14700</v>
      </c>
    </row>
    <row r="166" spans="105:110" x14ac:dyDescent="0.2">
      <c r="DA166" s="247">
        <v>772</v>
      </c>
      <c r="DB166" s="600" t="s">
        <v>556</v>
      </c>
      <c r="DC166" s="596"/>
      <c r="DD166" s="596"/>
      <c r="DE166" s="247">
        <v>0</v>
      </c>
      <c r="DF166" s="596"/>
    </row>
    <row r="167" spans="105:110" x14ac:dyDescent="0.2">
      <c r="DA167" s="247">
        <v>776</v>
      </c>
      <c r="DB167" s="600" t="s">
        <v>349</v>
      </c>
      <c r="DC167" s="596"/>
      <c r="DD167" s="596"/>
      <c r="DE167" s="247">
        <v>0</v>
      </c>
      <c r="DF167" s="596"/>
    </row>
    <row r="168" spans="105:110" x14ac:dyDescent="0.2">
      <c r="DA168" s="247">
        <v>780</v>
      </c>
      <c r="DB168" s="599" t="s">
        <v>350</v>
      </c>
      <c r="DC168" s="247">
        <v>11290</v>
      </c>
      <c r="DD168" s="247">
        <v>3840</v>
      </c>
      <c r="DE168" s="247">
        <v>0</v>
      </c>
      <c r="DF168" s="247">
        <v>3840</v>
      </c>
    </row>
    <row r="169" spans="105:110" x14ac:dyDescent="0.2">
      <c r="DA169" s="247">
        <v>788</v>
      </c>
      <c r="DB169" s="599" t="s">
        <v>351</v>
      </c>
      <c r="DC169" s="247">
        <v>33870</v>
      </c>
      <c r="DD169" s="247">
        <v>4195</v>
      </c>
      <c r="DE169" s="247">
        <v>320</v>
      </c>
      <c r="DF169" s="247">
        <v>4615</v>
      </c>
    </row>
    <row r="170" spans="105:110" x14ac:dyDescent="0.2">
      <c r="DA170" s="247">
        <v>795</v>
      </c>
      <c r="DB170" s="599" t="s">
        <v>352</v>
      </c>
      <c r="DC170" s="247">
        <v>78580</v>
      </c>
      <c r="DD170" s="247">
        <v>1405</v>
      </c>
      <c r="DE170" s="247">
        <v>80200</v>
      </c>
      <c r="DF170" s="247">
        <v>24770</v>
      </c>
    </row>
    <row r="171" spans="105:110" x14ac:dyDescent="0.2">
      <c r="DA171" s="247">
        <v>798</v>
      </c>
      <c r="DB171" s="599" t="s">
        <v>112</v>
      </c>
      <c r="DC171" s="247"/>
      <c r="DD171" s="247"/>
      <c r="DE171" s="247">
        <v>0</v>
      </c>
      <c r="DF171" s="247"/>
    </row>
    <row r="172" spans="105:110" x14ac:dyDescent="0.2">
      <c r="DA172" s="247">
        <v>800</v>
      </c>
      <c r="DB172" s="599" t="s">
        <v>353</v>
      </c>
      <c r="DC172" s="247">
        <v>285000</v>
      </c>
      <c r="DD172" s="247">
        <v>39000</v>
      </c>
      <c r="DE172" s="247">
        <v>21100</v>
      </c>
      <c r="DF172" s="247">
        <v>60100</v>
      </c>
    </row>
    <row r="173" spans="105:110" x14ac:dyDescent="0.2">
      <c r="DA173" s="247">
        <v>804</v>
      </c>
      <c r="DB173" s="599" t="s">
        <v>354</v>
      </c>
      <c r="DC173" s="247">
        <v>341000</v>
      </c>
      <c r="DD173" s="247">
        <v>55100</v>
      </c>
      <c r="DE173" s="247">
        <v>36130</v>
      </c>
      <c r="DF173" s="247">
        <v>175300</v>
      </c>
    </row>
    <row r="174" spans="105:110" x14ac:dyDescent="0.2">
      <c r="DA174" s="247">
        <v>784</v>
      </c>
      <c r="DB174" s="599" t="s">
        <v>355</v>
      </c>
      <c r="DC174" s="247">
        <v>6521</v>
      </c>
      <c r="DD174" s="247">
        <v>150</v>
      </c>
      <c r="DE174" s="247">
        <v>0</v>
      </c>
      <c r="DF174" s="247">
        <v>150</v>
      </c>
    </row>
    <row r="175" spans="105:110" x14ac:dyDescent="0.2">
      <c r="DA175" s="247">
        <v>834</v>
      </c>
      <c r="DB175" s="599" t="s">
        <v>113</v>
      </c>
      <c r="DC175" s="247">
        <v>1015000</v>
      </c>
      <c r="DD175" s="247">
        <v>84000</v>
      </c>
      <c r="DE175" s="247">
        <v>12270</v>
      </c>
      <c r="DF175" s="247">
        <v>96270</v>
      </c>
    </row>
    <row r="176" spans="105:110" x14ac:dyDescent="0.2">
      <c r="DA176" s="247">
        <v>858</v>
      </c>
      <c r="DB176" s="599" t="s">
        <v>357</v>
      </c>
      <c r="DC176" s="247">
        <v>229100</v>
      </c>
      <c r="DD176" s="247">
        <v>92200</v>
      </c>
      <c r="DE176" s="247">
        <v>5000</v>
      </c>
      <c r="DF176" s="247">
        <v>172200</v>
      </c>
    </row>
    <row r="177" spans="105:110" x14ac:dyDescent="0.2">
      <c r="DA177" s="247">
        <v>860</v>
      </c>
      <c r="DB177" s="599" t="s">
        <v>358</v>
      </c>
      <c r="DC177" s="247">
        <v>92160</v>
      </c>
      <c r="DD177" s="247">
        <v>16340</v>
      </c>
      <c r="DE177" s="247">
        <v>102200</v>
      </c>
      <c r="DF177" s="247">
        <v>48870</v>
      </c>
    </row>
    <row r="178" spans="105:110" x14ac:dyDescent="0.2">
      <c r="DA178" s="247">
        <v>548</v>
      </c>
      <c r="DB178" s="599" t="s">
        <v>114</v>
      </c>
      <c r="DC178" s="247">
        <v>24380</v>
      </c>
      <c r="DD178" s="247">
        <v>10000</v>
      </c>
      <c r="DE178" s="247">
        <v>0</v>
      </c>
      <c r="DF178" s="247">
        <v>10000</v>
      </c>
    </row>
    <row r="179" spans="105:110" x14ac:dyDescent="0.2">
      <c r="DA179" s="247">
        <v>862</v>
      </c>
      <c r="DB179" s="599" t="s">
        <v>115</v>
      </c>
      <c r="DC179" s="247">
        <v>1864000</v>
      </c>
      <c r="DD179" s="247">
        <v>805000</v>
      </c>
      <c r="DE179" s="247">
        <v>495000</v>
      </c>
      <c r="DF179" s="247">
        <v>1325000</v>
      </c>
    </row>
    <row r="180" spans="105:110" x14ac:dyDescent="0.2">
      <c r="DA180" s="247">
        <v>704</v>
      </c>
      <c r="DB180" s="599" t="s">
        <v>359</v>
      </c>
      <c r="DC180" s="247">
        <v>602700</v>
      </c>
      <c r="DD180" s="247">
        <v>359400</v>
      </c>
      <c r="DE180" s="247">
        <v>524700</v>
      </c>
      <c r="DF180" s="247">
        <v>884100</v>
      </c>
    </row>
    <row r="181" spans="105:110" x14ac:dyDescent="0.2">
      <c r="DA181" s="247">
        <v>887</v>
      </c>
      <c r="DB181" s="599" t="s">
        <v>360</v>
      </c>
      <c r="DC181" s="247">
        <v>88170</v>
      </c>
      <c r="DD181" s="247">
        <v>2100</v>
      </c>
      <c r="DE181" s="247">
        <v>0</v>
      </c>
      <c r="DF181" s="247">
        <v>2100</v>
      </c>
    </row>
    <row r="182" spans="105:110" x14ac:dyDescent="0.2">
      <c r="DA182" s="247">
        <v>894</v>
      </c>
      <c r="DB182" s="599" t="s">
        <v>361</v>
      </c>
      <c r="DC182" s="247">
        <v>767700</v>
      </c>
      <c r="DD182" s="247">
        <v>80200</v>
      </c>
      <c r="DE182" s="247">
        <v>24600</v>
      </c>
      <c r="DF182" s="247">
        <v>104800</v>
      </c>
    </row>
    <row r="183" spans="105:110" x14ac:dyDescent="0.2">
      <c r="DA183" s="247">
        <v>716</v>
      </c>
      <c r="DB183" s="599" t="s">
        <v>362</v>
      </c>
      <c r="DC183" s="247">
        <v>256700</v>
      </c>
      <c r="DD183" s="247">
        <v>12260</v>
      </c>
      <c r="DE183" s="247">
        <v>0</v>
      </c>
      <c r="DF183" s="247">
        <v>20000</v>
      </c>
    </row>
    <row r="184" spans="105:110" x14ac:dyDescent="0.2">
      <c r="DA184" s="247"/>
      <c r="DB184" s="601"/>
      <c r="DC184" s="247"/>
      <c r="DD184" s="247"/>
      <c r="DE184" s="247"/>
      <c r="DF184" s="247"/>
    </row>
    <row r="185" spans="105:110" x14ac:dyDescent="0.2">
      <c r="DA185" s="247"/>
      <c r="DB185" s="601"/>
      <c r="DC185" s="247"/>
      <c r="DD185" s="247"/>
      <c r="DE185" s="247"/>
      <c r="DF185" s="247"/>
    </row>
    <row r="186" spans="105:110" x14ac:dyDescent="0.2">
      <c r="DA186" s="247"/>
      <c r="DB186" s="601"/>
      <c r="DC186" s="247"/>
      <c r="DD186" s="247"/>
      <c r="DE186" s="247"/>
      <c r="DF186" s="247"/>
    </row>
    <row r="187" spans="105:110" x14ac:dyDescent="0.2">
      <c r="DA187" s="247"/>
      <c r="DB187" s="601"/>
      <c r="DC187" s="247"/>
      <c r="DD187" s="247"/>
      <c r="DE187" s="247"/>
      <c r="DF187" s="247"/>
    </row>
    <row r="188" spans="105:110" x14ac:dyDescent="0.2">
      <c r="DA188" s="247"/>
      <c r="DB188" s="601"/>
      <c r="DC188" s="247"/>
      <c r="DD188" s="247"/>
      <c r="DE188" s="247"/>
      <c r="DF188" s="247"/>
    </row>
    <row r="189" spans="105:110" x14ac:dyDescent="0.2">
      <c r="DA189" s="247"/>
      <c r="DB189" s="601"/>
      <c r="DC189" s="247"/>
      <c r="DD189" s="247"/>
      <c r="DE189" s="247"/>
      <c r="DF189" s="247"/>
    </row>
    <row r="190" spans="105:110" x14ac:dyDescent="0.2">
      <c r="DA190" s="247"/>
      <c r="DB190" s="601"/>
      <c r="DC190" s="247"/>
      <c r="DD190" s="247"/>
      <c r="DE190" s="247"/>
      <c r="DF190" s="247"/>
    </row>
    <row r="191" spans="105:110" x14ac:dyDescent="0.2">
      <c r="DA191" s="247"/>
      <c r="DB191" s="601"/>
      <c r="DC191" s="247"/>
      <c r="DD191" s="247"/>
      <c r="DE191" s="247"/>
      <c r="DF191" s="247"/>
    </row>
    <row r="192" spans="105:110" x14ac:dyDescent="0.2">
      <c r="DA192" s="247"/>
      <c r="DB192" s="601"/>
      <c r="DC192" s="247"/>
      <c r="DD192" s="247"/>
      <c r="DE192" s="247"/>
      <c r="DF192" s="247"/>
    </row>
    <row r="193" spans="105:110" x14ac:dyDescent="0.2">
      <c r="DA193" s="247"/>
      <c r="DB193" s="601"/>
      <c r="DC193" s="247"/>
      <c r="DD193" s="247"/>
      <c r="DE193" s="247"/>
      <c r="DF193" s="247"/>
    </row>
    <row r="194" spans="105:110" x14ac:dyDescent="0.2">
      <c r="DA194" s="247"/>
      <c r="DB194" s="601"/>
      <c r="DC194" s="247"/>
      <c r="DD194" s="247"/>
      <c r="DE194" s="247"/>
      <c r="DF194" s="247"/>
    </row>
    <row r="195" spans="105:110" x14ac:dyDescent="0.2">
      <c r="DA195" s="247"/>
      <c r="DB195" s="601"/>
      <c r="DC195" s="247"/>
      <c r="DD195" s="247"/>
      <c r="DE195" s="247"/>
      <c r="DF195" s="247"/>
    </row>
    <row r="196" spans="105:110" x14ac:dyDescent="0.2">
      <c r="DA196" s="247"/>
      <c r="DB196" s="601"/>
      <c r="DC196" s="247"/>
      <c r="DD196" s="247"/>
      <c r="DE196" s="247"/>
      <c r="DF196" s="247"/>
    </row>
    <row r="197" spans="105:110" x14ac:dyDescent="0.2">
      <c r="DA197" s="247"/>
      <c r="DB197" s="601"/>
      <c r="DC197" s="247"/>
      <c r="DD197" s="247"/>
      <c r="DE197" s="247"/>
      <c r="DF197" s="247"/>
    </row>
    <row r="198" spans="105:110" x14ac:dyDescent="0.2">
      <c r="DA198" s="247"/>
      <c r="DB198" s="601"/>
      <c r="DC198" s="247"/>
      <c r="DD198" s="247"/>
      <c r="DE198" s="247"/>
      <c r="DF198" s="247"/>
    </row>
    <row r="199" spans="105:110" x14ac:dyDescent="0.2">
      <c r="DA199" s="247"/>
      <c r="DB199" s="601"/>
      <c r="DC199" s="247"/>
      <c r="DD199" s="247"/>
      <c r="DE199" s="247"/>
      <c r="DF199" s="247"/>
    </row>
    <row r="200" spans="105:110" x14ac:dyDescent="0.2">
      <c r="DA200" s="247"/>
      <c r="DB200" s="601"/>
      <c r="DC200" s="247"/>
      <c r="DD200" s="247"/>
      <c r="DE200" s="247"/>
      <c r="DF200" s="247"/>
    </row>
    <row r="201" spans="105:110" x14ac:dyDescent="0.2">
      <c r="DA201" s="247"/>
      <c r="DB201" s="601"/>
      <c r="DC201" s="247"/>
      <c r="DD201" s="247"/>
      <c r="DE201" s="247"/>
      <c r="DF201" s="247"/>
    </row>
    <row r="202" spans="105:110" x14ac:dyDescent="0.2">
      <c r="DA202" s="247"/>
      <c r="DB202" s="601"/>
      <c r="DC202" s="247"/>
      <c r="DD202" s="247"/>
      <c r="DE202" s="247"/>
      <c r="DF202" s="247"/>
    </row>
    <row r="203" spans="105:110" x14ac:dyDescent="0.2">
      <c r="DA203" s="247"/>
      <c r="DB203" s="601"/>
      <c r="DC203" s="247"/>
      <c r="DD203" s="247"/>
      <c r="DE203" s="247"/>
      <c r="DF203" s="247"/>
    </row>
    <row r="204" spans="105:110" x14ac:dyDescent="0.2">
      <c r="DA204" s="247"/>
      <c r="DB204" s="601"/>
      <c r="DC204" s="247"/>
      <c r="DD204" s="247"/>
      <c r="DE204" s="247"/>
      <c r="DF204" s="247"/>
    </row>
    <row r="205" spans="105:110" x14ac:dyDescent="0.2">
      <c r="DA205" s="247"/>
      <c r="DB205" s="601"/>
      <c r="DC205" s="247"/>
      <c r="DD205" s="247"/>
      <c r="DE205" s="247"/>
      <c r="DF205" s="247"/>
    </row>
    <row r="206" spans="105:110" x14ac:dyDescent="0.2">
      <c r="DA206" s="247"/>
      <c r="DB206" s="601"/>
      <c r="DC206" s="247"/>
      <c r="DD206" s="247"/>
      <c r="DE206" s="247"/>
      <c r="DF206" s="247"/>
    </row>
    <row r="207" spans="105:110" ht="22.5" customHeight="1" x14ac:dyDescent="0.2">
      <c r="DA207" s="247"/>
      <c r="DB207" s="601"/>
      <c r="DC207" s="247"/>
      <c r="DD207" s="247"/>
      <c r="DE207" s="247"/>
      <c r="DF207" s="247"/>
    </row>
    <row r="208" spans="105:110" x14ac:dyDescent="0.2">
      <c r="DA208" s="247"/>
      <c r="DB208" s="601"/>
      <c r="DC208" s="247"/>
      <c r="DD208" s="247"/>
      <c r="DE208" s="247"/>
      <c r="DF208" s="247"/>
    </row>
    <row r="209" spans="105:110" x14ac:dyDescent="0.2">
      <c r="DA209" s="247"/>
      <c r="DB209" s="601"/>
      <c r="DC209" s="247"/>
      <c r="DD209" s="247"/>
      <c r="DE209" s="247"/>
      <c r="DF209" s="247"/>
    </row>
    <row r="210" spans="105:110" x14ac:dyDescent="0.2">
      <c r="DA210" s="247"/>
      <c r="DB210" s="601"/>
      <c r="DC210" s="247"/>
      <c r="DD210" s="247"/>
      <c r="DE210" s="247"/>
      <c r="DF210" s="247"/>
    </row>
    <row r="211" spans="105:110" x14ac:dyDescent="0.2">
      <c r="DA211" s="247"/>
      <c r="DB211" s="601"/>
      <c r="DC211" s="247"/>
      <c r="DD211" s="247"/>
      <c r="DE211" s="247"/>
      <c r="DF211" s="247"/>
    </row>
  </sheetData>
  <sheetProtection formatCells="0" formatColumns="0" formatRows="0" insertColumns="0"/>
  <mergeCells count="40">
    <mergeCell ref="D52:AZ52"/>
    <mergeCell ref="D53:AZ53"/>
    <mergeCell ref="D54:AZ54"/>
    <mergeCell ref="D50:AZ50"/>
    <mergeCell ref="D43:AZ43"/>
    <mergeCell ref="D44:AZ44"/>
    <mergeCell ref="D45:AZ45"/>
    <mergeCell ref="D47:AZ47"/>
    <mergeCell ref="D48:AZ48"/>
    <mergeCell ref="C59:AO60"/>
    <mergeCell ref="D55:AZ55"/>
    <mergeCell ref="D56:AZ56"/>
    <mergeCell ref="D57:AZ57"/>
    <mergeCell ref="D58:AZ58"/>
    <mergeCell ref="D37:AZ37"/>
    <mergeCell ref="D41:AZ41"/>
    <mergeCell ref="D51:AZ51"/>
    <mergeCell ref="D46:AZ46"/>
    <mergeCell ref="D42:AZ42"/>
    <mergeCell ref="D40:AZ40"/>
    <mergeCell ref="D39:AZ39"/>
    <mergeCell ref="D38:AZ38"/>
    <mergeCell ref="D49:AZ49"/>
    <mergeCell ref="C4:AZ4"/>
    <mergeCell ref="D23:AZ23"/>
    <mergeCell ref="D24:AZ24"/>
    <mergeCell ref="D25:AZ25"/>
    <mergeCell ref="F6:AJ6"/>
    <mergeCell ref="D36:AZ36"/>
    <mergeCell ref="M26:Q26"/>
    <mergeCell ref="DA5:DF5"/>
    <mergeCell ref="C5:AT5"/>
    <mergeCell ref="D21:AZ21"/>
    <mergeCell ref="D22:AZ22"/>
    <mergeCell ref="H28:O28"/>
    <mergeCell ref="F26:I26"/>
    <mergeCell ref="V29:AA29"/>
    <mergeCell ref="F30:I30"/>
    <mergeCell ref="M30:P30"/>
    <mergeCell ref="V31:AA31"/>
  </mergeCells>
  <phoneticPr fontId="10" type="noConversion"/>
  <conditionalFormatting sqref="F10">
    <cfRule type="cellIs" dxfId="278" priority="137" stopIfTrue="1" operator="lessThan">
      <formula>F8-F9-(0.01*(F8-F9))</formula>
    </cfRule>
  </conditionalFormatting>
  <conditionalFormatting sqref="F12">
    <cfRule type="cellIs" dxfId="277" priority="138" stopIfTrue="1" operator="lessThan">
      <formula>F10+F11-(0.01*(F10+F11))</formula>
    </cfRule>
  </conditionalFormatting>
  <conditionalFormatting sqref="F13">
    <cfRule type="cellIs" dxfId="276" priority="139" stopIfTrue="1" operator="lessThan">
      <formula>0.99*(F14+F15)</formula>
    </cfRule>
  </conditionalFormatting>
  <conditionalFormatting sqref="H10">
    <cfRule type="cellIs" dxfId="275" priority="135" stopIfTrue="1" operator="lessThan">
      <formula>H8-H9-(0.01*(H8-H9))</formula>
    </cfRule>
  </conditionalFormatting>
  <conditionalFormatting sqref="H12">
    <cfRule type="cellIs" dxfId="274" priority="136" stopIfTrue="1" operator="lessThan">
      <formula>H10+H11-(0.01*(H10+H11))</formula>
    </cfRule>
  </conditionalFormatting>
  <conditionalFormatting sqref="J10">
    <cfRule type="cellIs" dxfId="273" priority="133" stopIfTrue="1" operator="lessThan">
      <formula>J8-J9-(0.01*(J8-J9))</formula>
    </cfRule>
  </conditionalFormatting>
  <conditionalFormatting sqref="J12">
    <cfRule type="cellIs" dxfId="272" priority="134" stopIfTrue="1" operator="lessThan">
      <formula>J10+J11-(0.01*(J10+J11))</formula>
    </cfRule>
  </conditionalFormatting>
  <conditionalFormatting sqref="L10">
    <cfRule type="cellIs" dxfId="271" priority="131" stopIfTrue="1" operator="lessThan">
      <formula>L8-L9-(0.01*(L8-L9))</formula>
    </cfRule>
  </conditionalFormatting>
  <conditionalFormatting sqref="L12">
    <cfRule type="cellIs" dxfId="270" priority="132" stopIfTrue="1" operator="lessThan">
      <formula>L10+L11-(0.01*(L10+L11))</formula>
    </cfRule>
  </conditionalFormatting>
  <conditionalFormatting sqref="N10">
    <cfRule type="cellIs" dxfId="269" priority="129" stopIfTrue="1" operator="lessThan">
      <formula>N8-N9-(0.01*(N8-N9))</formula>
    </cfRule>
  </conditionalFormatting>
  <conditionalFormatting sqref="N12">
    <cfRule type="cellIs" dxfId="268" priority="130" stopIfTrue="1" operator="lessThan">
      <formula>N10+N11-(0.01*(N10+N11))</formula>
    </cfRule>
  </conditionalFormatting>
  <conditionalFormatting sqref="P10">
    <cfRule type="cellIs" dxfId="267" priority="127" stopIfTrue="1" operator="lessThan">
      <formula>P8-P9-(0.01*(P8-P9))</formula>
    </cfRule>
  </conditionalFormatting>
  <conditionalFormatting sqref="P12">
    <cfRule type="cellIs" dxfId="266" priority="128" stopIfTrue="1" operator="lessThan">
      <formula>P10+P11-(0.01*(P10+P11))</formula>
    </cfRule>
  </conditionalFormatting>
  <conditionalFormatting sqref="R10">
    <cfRule type="cellIs" dxfId="265" priority="125" stopIfTrue="1" operator="lessThan">
      <formula>R8-R9-(0.01*(R8-R9))</formula>
    </cfRule>
  </conditionalFormatting>
  <conditionalFormatting sqref="R12">
    <cfRule type="cellIs" dxfId="264" priority="126" stopIfTrue="1" operator="lessThan">
      <formula>R10+R11-(0.01*(R10+R11))</formula>
    </cfRule>
  </conditionalFormatting>
  <conditionalFormatting sqref="T10">
    <cfRule type="cellIs" dxfId="263" priority="123" stopIfTrue="1" operator="lessThan">
      <formula>T8-T9-(0.01*(T8-T9))</formula>
    </cfRule>
  </conditionalFormatting>
  <conditionalFormatting sqref="T12">
    <cfRule type="cellIs" dxfId="262" priority="124" stopIfTrue="1" operator="lessThan">
      <formula>T10+T11-(0.01*(T10+T11))</formula>
    </cfRule>
  </conditionalFormatting>
  <conditionalFormatting sqref="V10">
    <cfRule type="cellIs" dxfId="261" priority="121" stopIfTrue="1" operator="lessThan">
      <formula>V8-V9-(0.01*(V8-V9))</formula>
    </cfRule>
  </conditionalFormatting>
  <conditionalFormatting sqref="V12">
    <cfRule type="cellIs" dxfId="260" priority="122" stopIfTrue="1" operator="lessThan">
      <formula>V10+V11-(0.01*(V10+V11))</formula>
    </cfRule>
  </conditionalFormatting>
  <conditionalFormatting sqref="X10">
    <cfRule type="cellIs" dxfId="259" priority="119" stopIfTrue="1" operator="lessThan">
      <formula>X8-X9-(0.01*(X8-X9))</formula>
    </cfRule>
  </conditionalFormatting>
  <conditionalFormatting sqref="X12">
    <cfRule type="cellIs" dxfId="258" priority="120" stopIfTrue="1" operator="lessThan">
      <formula>X10+X11-(0.01*(X10+X11))</formula>
    </cfRule>
  </conditionalFormatting>
  <conditionalFormatting sqref="Z10">
    <cfRule type="cellIs" dxfId="257" priority="117" stopIfTrue="1" operator="lessThan">
      <formula>Z8-Z9-(0.01*(Z8-Z9))</formula>
    </cfRule>
  </conditionalFormatting>
  <conditionalFormatting sqref="Z12">
    <cfRule type="cellIs" dxfId="256" priority="118" stopIfTrue="1" operator="lessThan">
      <formula>Z10+Z11-(0.01*(Z10+Z11))</formula>
    </cfRule>
  </conditionalFormatting>
  <conditionalFormatting sqref="AB10">
    <cfRule type="cellIs" dxfId="255" priority="115" stopIfTrue="1" operator="lessThan">
      <formula>AB8-AB9-(0.01*(AB8-AB9))</formula>
    </cfRule>
  </conditionalFormatting>
  <conditionalFormatting sqref="AB12">
    <cfRule type="cellIs" dxfId="254" priority="116" stopIfTrue="1" operator="lessThan">
      <formula>AB10+AB11-(0.01*(AB10+AB11))</formula>
    </cfRule>
  </conditionalFormatting>
  <conditionalFormatting sqref="AD10">
    <cfRule type="cellIs" dxfId="253" priority="113" stopIfTrue="1" operator="lessThan">
      <formula>AD8-AD9-(0.01*(AD8-AD9))</formula>
    </cfRule>
  </conditionalFormatting>
  <conditionalFormatting sqref="AD12">
    <cfRule type="cellIs" dxfId="252" priority="114" stopIfTrue="1" operator="lessThan">
      <formula>AD10+AD11-(0.01*(AD10+AD11))</formula>
    </cfRule>
  </conditionalFormatting>
  <conditionalFormatting sqref="AF10">
    <cfRule type="cellIs" dxfId="251" priority="111" stopIfTrue="1" operator="lessThan">
      <formula>AF8-AF9-(0.01*(AF8-AF9))</formula>
    </cfRule>
  </conditionalFormatting>
  <conditionalFormatting sqref="AF12">
    <cfRule type="cellIs" dxfId="250" priority="112" stopIfTrue="1" operator="lessThan">
      <formula>AF10+AF11-(0.01*(AF10+AF11))</formula>
    </cfRule>
  </conditionalFormatting>
  <conditionalFormatting sqref="AH10">
    <cfRule type="cellIs" dxfId="249" priority="109" stopIfTrue="1" operator="lessThan">
      <formula>AH8-AH9-(0.01*(AH8-AH9))</formula>
    </cfRule>
  </conditionalFormatting>
  <conditionalFormatting sqref="AH12">
    <cfRule type="cellIs" dxfId="248" priority="110" stopIfTrue="1" operator="lessThan">
      <formula>AH10+AH11-(0.01*(AH10+AH11))</formula>
    </cfRule>
  </conditionalFormatting>
  <conditionalFormatting sqref="AJ10">
    <cfRule type="cellIs" dxfId="247" priority="107" stopIfTrue="1" operator="lessThan">
      <formula>AJ8-AJ9-(0.01*(AJ8-AJ9))</formula>
    </cfRule>
  </conditionalFormatting>
  <conditionalFormatting sqref="AJ12">
    <cfRule type="cellIs" dxfId="246" priority="108" stopIfTrue="1" operator="lessThan">
      <formula>AJ10+AJ11-(0.01*(AJ10+AJ11))</formula>
    </cfRule>
  </conditionalFormatting>
  <conditionalFormatting sqref="AN10">
    <cfRule type="cellIs" dxfId="245" priority="105" stopIfTrue="1" operator="lessThan">
      <formula>AN8-AN9-(0.01*(AN8-AN9))</formula>
    </cfRule>
  </conditionalFormatting>
  <conditionalFormatting sqref="AN12">
    <cfRule type="cellIs" dxfId="244" priority="106" stopIfTrue="1" operator="lessThan">
      <formula>AN10+AN11-(0.01*(AN10+AN11))</formula>
    </cfRule>
  </conditionalFormatting>
  <conditionalFormatting sqref="AP10">
    <cfRule type="cellIs" dxfId="243" priority="103" stopIfTrue="1" operator="lessThan">
      <formula>AP8-AP9-(0.01*(AP8-AP9))</formula>
    </cfRule>
  </conditionalFormatting>
  <conditionalFormatting sqref="AP12">
    <cfRule type="cellIs" dxfId="242" priority="104" stopIfTrue="1" operator="lessThan">
      <formula>AP10+AP11-(0.01*(AP10+AP11))</formula>
    </cfRule>
  </conditionalFormatting>
  <conditionalFormatting sqref="AR10">
    <cfRule type="cellIs" dxfId="241" priority="101" stopIfTrue="1" operator="lessThan">
      <formula>AR8-AR9-(0.01*(AR8-AR9))</formula>
    </cfRule>
  </conditionalFormatting>
  <conditionalFormatting sqref="AR12">
    <cfRule type="cellIs" dxfId="240" priority="102" stopIfTrue="1" operator="lessThan">
      <formula>AR10+AR11-(0.01*(AR10+AR11))</formula>
    </cfRule>
  </conditionalFormatting>
  <conditionalFormatting sqref="AT10">
    <cfRule type="cellIs" dxfId="239" priority="99" stopIfTrue="1" operator="lessThan">
      <formula>AT8-AT9-(0.01*(AT8-AT9))</formula>
    </cfRule>
  </conditionalFormatting>
  <conditionalFormatting sqref="AT12">
    <cfRule type="cellIs" dxfId="238" priority="100" stopIfTrue="1" operator="lessThan">
      <formula>AT10+AT11-(0.01*(AT10+AT11))</formula>
    </cfRule>
  </conditionalFormatting>
  <conditionalFormatting sqref="AV10">
    <cfRule type="cellIs" dxfId="237" priority="97" stopIfTrue="1" operator="lessThan">
      <formula>AV8-AV9-(0.01*(AV8-AV9))</formula>
    </cfRule>
  </conditionalFormatting>
  <conditionalFormatting sqref="AV12">
    <cfRule type="cellIs" dxfId="236" priority="98" stopIfTrue="1" operator="lessThan">
      <formula>AV10+AV11-(0.01*(AV10+AV11))</formula>
    </cfRule>
  </conditionalFormatting>
  <conditionalFormatting sqref="H13">
    <cfRule type="cellIs" dxfId="235" priority="94" stopIfTrue="1" operator="lessThan">
      <formula>0.99*(H14+H15)</formula>
    </cfRule>
  </conditionalFormatting>
  <conditionalFormatting sqref="J13">
    <cfRule type="cellIs" dxfId="234" priority="93" stopIfTrue="1" operator="lessThan">
      <formula>0.99*(J14+J15)</formula>
    </cfRule>
  </conditionalFormatting>
  <conditionalFormatting sqref="L13">
    <cfRule type="cellIs" dxfId="233" priority="92" stopIfTrue="1" operator="lessThan">
      <formula>0.99*(L14+L15)</formula>
    </cfRule>
  </conditionalFormatting>
  <conditionalFormatting sqref="N13">
    <cfRule type="cellIs" dxfId="232" priority="91" stopIfTrue="1" operator="lessThan">
      <formula>0.99*(N14+N15)</formula>
    </cfRule>
  </conditionalFormatting>
  <conditionalFormatting sqref="P13">
    <cfRule type="cellIs" dxfId="231" priority="90" stopIfTrue="1" operator="lessThan">
      <formula>0.99*(P14+P15)</formula>
    </cfRule>
  </conditionalFormatting>
  <conditionalFormatting sqref="R13">
    <cfRule type="cellIs" dxfId="230" priority="89" stopIfTrue="1" operator="lessThan">
      <formula>0.99*(R14+R15)</formula>
    </cfRule>
  </conditionalFormatting>
  <conditionalFormatting sqref="T13">
    <cfRule type="cellIs" dxfId="229" priority="88" stopIfTrue="1" operator="lessThan">
      <formula>0.99*(T14+T15)</formula>
    </cfRule>
  </conditionalFormatting>
  <conditionalFormatting sqref="V13">
    <cfRule type="cellIs" dxfId="228" priority="87" stopIfTrue="1" operator="lessThan">
      <formula>0.99*(V14+V15)</formula>
    </cfRule>
  </conditionalFormatting>
  <conditionalFormatting sqref="X13">
    <cfRule type="cellIs" dxfId="227" priority="86" stopIfTrue="1" operator="lessThan">
      <formula>0.99*(X14+X15)</formula>
    </cfRule>
  </conditionalFormatting>
  <conditionalFormatting sqref="Z13">
    <cfRule type="cellIs" dxfId="226" priority="85" stopIfTrue="1" operator="lessThan">
      <formula>0.99*(Z14+Z15)</formula>
    </cfRule>
  </conditionalFormatting>
  <conditionalFormatting sqref="AB13">
    <cfRule type="cellIs" dxfId="225" priority="84" stopIfTrue="1" operator="lessThan">
      <formula>0.99*(AB14+AB15)</formula>
    </cfRule>
  </conditionalFormatting>
  <conditionalFormatting sqref="AD13">
    <cfRule type="cellIs" dxfId="224" priority="83" stopIfTrue="1" operator="lessThan">
      <formula>0.99*(AD14+AD15)</formula>
    </cfRule>
  </conditionalFormatting>
  <conditionalFormatting sqref="AF13">
    <cfRule type="cellIs" dxfId="223" priority="82" stopIfTrue="1" operator="lessThan">
      <formula>0.99*(AF14+AF15)</formula>
    </cfRule>
  </conditionalFormatting>
  <conditionalFormatting sqref="AH13">
    <cfRule type="cellIs" dxfId="222" priority="81" stopIfTrue="1" operator="lessThan">
      <formula>0.99*(AH14+AH15)</formula>
    </cfRule>
  </conditionalFormatting>
  <conditionalFormatting sqref="AJ13">
    <cfRule type="cellIs" dxfId="221" priority="80" stopIfTrue="1" operator="lessThan">
      <formula>0.99*(AJ14+AJ15)</formula>
    </cfRule>
  </conditionalFormatting>
  <conditionalFormatting sqref="AR13">
    <cfRule type="cellIs" dxfId="220" priority="77" stopIfTrue="1" operator="lessThan">
      <formula>0.99*(AR14+AR15)</formula>
    </cfRule>
  </conditionalFormatting>
  <conditionalFormatting sqref="AN13">
    <cfRule type="cellIs" dxfId="219" priority="79" stopIfTrue="1" operator="lessThan">
      <formula>0.99*(AN14+AN15)</formula>
    </cfRule>
  </conditionalFormatting>
  <conditionalFormatting sqref="AP13">
    <cfRule type="cellIs" dxfId="218" priority="78" stopIfTrue="1" operator="lessThan">
      <formula>0.99*(AP14+AP15)</formula>
    </cfRule>
  </conditionalFormatting>
  <conditionalFormatting sqref="AT13">
    <cfRule type="cellIs" dxfId="217" priority="76" stopIfTrue="1" operator="lessThan">
      <formula>0.99*(AT14+AT15)</formula>
    </cfRule>
  </conditionalFormatting>
  <conditionalFormatting sqref="AV13">
    <cfRule type="cellIs" dxfId="216" priority="75" stopIfTrue="1" operator="lessThan">
      <formula>0.99*(AV14+AV15)</formula>
    </cfRule>
  </conditionalFormatting>
  <conditionalFormatting sqref="AL10">
    <cfRule type="cellIs" dxfId="215" priority="72" stopIfTrue="1" operator="lessThan">
      <formula>AL8-AL9-(0.01*(AL8-AL9))</formula>
    </cfRule>
  </conditionalFormatting>
  <conditionalFormatting sqref="AL12">
    <cfRule type="cellIs" dxfId="214" priority="73" stopIfTrue="1" operator="lessThan">
      <formula>AL10+AL11-(0.01*(AL10+AL11))</formula>
    </cfRule>
  </conditionalFormatting>
  <conditionalFormatting sqref="AL13">
    <cfRule type="cellIs" dxfId="213" priority="71" stopIfTrue="1" operator="lessThan">
      <formula>0.99*(AL14+AL15)</formula>
    </cfRule>
  </conditionalFormatting>
  <conditionalFormatting sqref="BE32 BE35 BE38 BE29">
    <cfRule type="cellIs" dxfId="212" priority="65" stopIfTrue="1" operator="greaterThan">
      <formula>0</formula>
    </cfRule>
  </conditionalFormatting>
  <conditionalFormatting sqref="CY23 CS23 CY26 CS26 CO23 CM26 CO26 CM23 BG23 BE23 BE26 BG26 CI26 CQ23 CK23 CQ26 CK26 CG23 CI23 CE26 CG26 CC23 CE23 CA26 CC26 BY23 CA23 BW26 BY26 BU23 BW23 BS26 BU26 BS23 BI26:BQ26 BI23:BQ23">
    <cfRule type="cellIs" dxfId="211" priority="67" stopIfTrue="1" operator="equal">
      <formula>"&lt;&gt;"</formula>
    </cfRule>
  </conditionalFormatting>
  <conditionalFormatting sqref="CM8:CM16 CO8:CO16 CS8:CS16 CY8:CY16 BK8:BK16 BM8:BM16 BO8:BO16 BQ8:BQ16 BS8:BS16 BU8:BU16 BW8:BW16 BY8:BY16 CA8:CA16 CC8:CC16 CE8:CE16 CG8:CG16 CI8:CI16 CK8:CK16 BI8:BI16 CQ8:CQ16">
    <cfRule type="cellIs" dxfId="210" priority="66" stopIfTrue="1" operator="equal">
      <formula>"&gt; 25%"</formula>
    </cfRule>
  </conditionalFormatting>
  <conditionalFormatting sqref="AX10">
    <cfRule type="cellIs" dxfId="209" priority="63" stopIfTrue="1" operator="lessThan">
      <formula>AX8-AX9-(0.01*(AX8-AX9))</formula>
    </cfRule>
  </conditionalFormatting>
  <conditionalFormatting sqref="AX12">
    <cfRule type="cellIs" dxfId="208" priority="64" stopIfTrue="1" operator="lessThan">
      <formula>AX10+AX11-(0.01*(AX10+AX11))</formula>
    </cfRule>
  </conditionalFormatting>
  <conditionalFormatting sqref="AX13">
    <cfRule type="cellIs" dxfId="207" priority="60" stopIfTrue="1" operator="lessThan">
      <formula>0.99*(AX14+AX15)</formula>
    </cfRule>
  </conditionalFormatting>
  <conditionalFormatting sqref="CU26 CW23 CW26 CU23">
    <cfRule type="cellIs" dxfId="206" priority="58" stopIfTrue="1" operator="equal">
      <formula>"&lt;&gt;"</formula>
    </cfRule>
  </conditionalFormatting>
  <conditionalFormatting sqref="CU8:CU16 CW8:CW16">
    <cfRule type="cellIs" dxfId="205" priority="57" stopIfTrue="1" operator="equal">
      <formula>"&gt; 25%"</formula>
    </cfRule>
  </conditionalFormatting>
  <conditionalFormatting sqref="L10">
    <cfRule type="cellIs" dxfId="204" priority="55" stopIfTrue="1" operator="lessThan">
      <formula>L8-L9-(0.01*(L8-L9))</formula>
    </cfRule>
  </conditionalFormatting>
  <conditionalFormatting sqref="L12">
    <cfRule type="cellIs" dxfId="203" priority="56" stopIfTrue="1" operator="lessThan">
      <formula>L10+L11-(0.01*(L10+L11))</formula>
    </cfRule>
  </conditionalFormatting>
  <conditionalFormatting sqref="N10">
    <cfRule type="cellIs" dxfId="202" priority="53" stopIfTrue="1" operator="lessThan">
      <formula>N8-N9-(0.01*(N8-N9))</formula>
    </cfRule>
  </conditionalFormatting>
  <conditionalFormatting sqref="N12">
    <cfRule type="cellIs" dxfId="201" priority="54" stopIfTrue="1" operator="lessThan">
      <formula>N10+N11-(0.01*(N10+N11))</formula>
    </cfRule>
  </conditionalFormatting>
  <conditionalFormatting sqref="P10">
    <cfRule type="cellIs" dxfId="200" priority="51" stopIfTrue="1" operator="lessThan">
      <formula>P8-P9-(0.01*(P8-P9))</formula>
    </cfRule>
  </conditionalFormatting>
  <conditionalFormatting sqref="P12">
    <cfRule type="cellIs" dxfId="199" priority="52" stopIfTrue="1" operator="lessThan">
      <formula>P10+P11-(0.01*(P10+P11))</formula>
    </cfRule>
  </conditionalFormatting>
  <conditionalFormatting sqref="R10">
    <cfRule type="cellIs" dxfId="198" priority="49" stopIfTrue="1" operator="lessThan">
      <formula>R8-R9-(0.01*(R8-R9))</formula>
    </cfRule>
  </conditionalFormatting>
  <conditionalFormatting sqref="R12">
    <cfRule type="cellIs" dxfId="197" priority="50" stopIfTrue="1" operator="lessThan">
      <formula>R10+R11-(0.01*(R10+R11))</formula>
    </cfRule>
  </conditionalFormatting>
  <conditionalFormatting sqref="T10">
    <cfRule type="cellIs" dxfId="196" priority="47" stopIfTrue="1" operator="lessThan">
      <formula>T8-T9-(0.01*(T8-T9))</formula>
    </cfRule>
  </conditionalFormatting>
  <conditionalFormatting sqref="T12">
    <cfRule type="cellIs" dxfId="195" priority="48" stopIfTrue="1" operator="lessThan">
      <formula>T10+T11-(0.01*(T10+T11))</formula>
    </cfRule>
  </conditionalFormatting>
  <conditionalFormatting sqref="V10">
    <cfRule type="cellIs" dxfId="194" priority="45" stopIfTrue="1" operator="lessThan">
      <formula>V8-V9-(0.01*(V8-V9))</formula>
    </cfRule>
  </conditionalFormatting>
  <conditionalFormatting sqref="V12">
    <cfRule type="cellIs" dxfId="193" priority="46" stopIfTrue="1" operator="lessThan">
      <formula>V10+V11-(0.01*(V10+V11))</formula>
    </cfRule>
  </conditionalFormatting>
  <conditionalFormatting sqref="X10">
    <cfRule type="cellIs" dxfId="192" priority="43" stopIfTrue="1" operator="lessThan">
      <formula>X8-X9-(0.01*(X8-X9))</formula>
    </cfRule>
  </conditionalFormatting>
  <conditionalFormatting sqref="X12">
    <cfRule type="cellIs" dxfId="191" priority="44" stopIfTrue="1" operator="lessThan">
      <formula>X10+X11-(0.01*(X10+X11))</formula>
    </cfRule>
  </conditionalFormatting>
  <conditionalFormatting sqref="Z10">
    <cfRule type="cellIs" dxfId="190" priority="41" stopIfTrue="1" operator="lessThan">
      <formula>Z8-Z9-(0.01*(Z8-Z9))</formula>
    </cfRule>
  </conditionalFormatting>
  <conditionalFormatting sqref="Z12">
    <cfRule type="cellIs" dxfId="189" priority="42" stopIfTrue="1" operator="lessThan">
      <formula>Z10+Z11-(0.01*(Z10+Z11))</formula>
    </cfRule>
  </conditionalFormatting>
  <conditionalFormatting sqref="AB10">
    <cfRule type="cellIs" dxfId="188" priority="39" stopIfTrue="1" operator="lessThan">
      <formula>AB8-AB9-(0.01*(AB8-AB9))</formula>
    </cfRule>
  </conditionalFormatting>
  <conditionalFormatting sqref="AB12">
    <cfRule type="cellIs" dxfId="187" priority="40" stopIfTrue="1" operator="lessThan">
      <formula>AB10+AB11-(0.01*(AB10+AB11))</formula>
    </cfRule>
  </conditionalFormatting>
  <conditionalFormatting sqref="AF10">
    <cfRule type="cellIs" dxfId="186" priority="37" stopIfTrue="1" operator="lessThan">
      <formula>AF8-AF9-(0.01*(AF8-AF9))</formula>
    </cfRule>
  </conditionalFormatting>
  <conditionalFormatting sqref="AF12">
    <cfRule type="cellIs" dxfId="185" priority="38" stopIfTrue="1" operator="lessThan">
      <formula>AF10+AF11-(0.01*(AF10+AF11))</formula>
    </cfRule>
  </conditionalFormatting>
  <conditionalFormatting sqref="AH10">
    <cfRule type="cellIs" dxfId="184" priority="35" stopIfTrue="1" operator="lessThan">
      <formula>AH8-AH9-(0.01*(AH8-AH9))</formula>
    </cfRule>
  </conditionalFormatting>
  <conditionalFormatting sqref="AH12">
    <cfRule type="cellIs" dxfId="183" priority="36" stopIfTrue="1" operator="lessThan">
      <formula>AH10+AH11-(0.01*(AH10+AH11))</formula>
    </cfRule>
  </conditionalFormatting>
  <conditionalFormatting sqref="AJ10">
    <cfRule type="cellIs" dxfId="182" priority="33" stopIfTrue="1" operator="lessThan">
      <formula>AJ8-AJ9-(0.01*(AJ8-AJ9))</formula>
    </cfRule>
  </conditionalFormatting>
  <conditionalFormatting sqref="AJ12">
    <cfRule type="cellIs" dxfId="181" priority="34" stopIfTrue="1" operator="lessThan">
      <formula>AJ10+AJ11-(0.01*(AJ10+AJ11))</formula>
    </cfRule>
  </conditionalFormatting>
  <conditionalFormatting sqref="AL10">
    <cfRule type="cellIs" dxfId="180" priority="31" stopIfTrue="1" operator="lessThan">
      <formula>AL8-AL9-(0.01*(AL8-AL9))</formula>
    </cfRule>
  </conditionalFormatting>
  <conditionalFormatting sqref="AL12">
    <cfRule type="cellIs" dxfId="179" priority="32" stopIfTrue="1" operator="lessThan">
      <formula>AL10+AL11-(0.01*(AL10+AL11))</formula>
    </cfRule>
  </conditionalFormatting>
  <conditionalFormatting sqref="AN10">
    <cfRule type="cellIs" dxfId="178" priority="29" stopIfTrue="1" operator="lessThan">
      <formula>AN8-AN9-(0.01*(AN8-AN9))</formula>
    </cfRule>
  </conditionalFormatting>
  <conditionalFormatting sqref="AN12">
    <cfRule type="cellIs" dxfId="177" priority="30" stopIfTrue="1" operator="lessThan">
      <formula>AN10+AN11-(0.01*(AN10+AN11))</formula>
    </cfRule>
  </conditionalFormatting>
  <conditionalFormatting sqref="AT10">
    <cfRule type="cellIs" dxfId="176" priority="27" stopIfTrue="1" operator="lessThan">
      <formula>AT8-AT9-(0.01*(AT8-AT9))</formula>
    </cfRule>
  </conditionalFormatting>
  <conditionalFormatting sqref="AT12">
    <cfRule type="cellIs" dxfId="175" priority="28" stopIfTrue="1" operator="lessThan">
      <formula>AT10+AT11-(0.01*(AT10+AT11))</formula>
    </cfRule>
  </conditionalFormatting>
  <conditionalFormatting sqref="L13">
    <cfRule type="cellIs" dxfId="174" priority="26" stopIfTrue="1" operator="lessThan">
      <formula>0.99*(L14+L15)</formula>
    </cfRule>
  </conditionalFormatting>
  <conditionalFormatting sqref="N13">
    <cfRule type="cellIs" dxfId="173" priority="25" stopIfTrue="1" operator="lessThan">
      <formula>0.99*(N14+N15)</formula>
    </cfRule>
  </conditionalFormatting>
  <conditionalFormatting sqref="P13">
    <cfRule type="cellIs" dxfId="172" priority="24" stopIfTrue="1" operator="lessThan">
      <formula>0.99*(P14+P15)</formula>
    </cfRule>
  </conditionalFormatting>
  <conditionalFormatting sqref="R13">
    <cfRule type="cellIs" dxfId="171" priority="23" stopIfTrue="1" operator="lessThan">
      <formula>0.99*(R14+R15)</formula>
    </cfRule>
  </conditionalFormatting>
  <conditionalFormatting sqref="T13">
    <cfRule type="cellIs" dxfId="170" priority="22" stopIfTrue="1" operator="lessThan">
      <formula>0.99*(T14+T15)</formula>
    </cfRule>
  </conditionalFormatting>
  <conditionalFormatting sqref="V13">
    <cfRule type="cellIs" dxfId="169" priority="21" stopIfTrue="1" operator="lessThan">
      <formula>0.99*(V14+V15)</formula>
    </cfRule>
  </conditionalFormatting>
  <conditionalFormatting sqref="X13">
    <cfRule type="cellIs" dxfId="168" priority="20" stopIfTrue="1" operator="lessThan">
      <formula>0.99*(X14+X15)</formula>
    </cfRule>
  </conditionalFormatting>
  <conditionalFormatting sqref="Z13">
    <cfRule type="cellIs" dxfId="167" priority="19" stopIfTrue="1" operator="lessThan">
      <formula>0.99*(Z14+Z15)</formula>
    </cfRule>
  </conditionalFormatting>
  <conditionalFormatting sqref="AB13">
    <cfRule type="cellIs" dxfId="166" priority="18" stopIfTrue="1" operator="lessThan">
      <formula>0.99*(AB14+AB15)</formula>
    </cfRule>
  </conditionalFormatting>
  <conditionalFormatting sqref="AJ13">
    <cfRule type="cellIs" dxfId="165" priority="15" stopIfTrue="1" operator="lessThan">
      <formula>0.99*(AJ14+AJ15)</formula>
    </cfRule>
  </conditionalFormatting>
  <conditionalFormatting sqref="AF13">
    <cfRule type="cellIs" dxfId="164" priority="17" stopIfTrue="1" operator="lessThan">
      <formula>0.99*(AF14+AF15)</formula>
    </cfRule>
  </conditionalFormatting>
  <conditionalFormatting sqref="AH13">
    <cfRule type="cellIs" dxfId="163" priority="16" stopIfTrue="1" operator="lessThan">
      <formula>0.99*(AH14+AH15)</formula>
    </cfRule>
  </conditionalFormatting>
  <conditionalFormatting sqref="AL13">
    <cfRule type="cellIs" dxfId="162" priority="14" stopIfTrue="1" operator="lessThan">
      <formula>0.99*(AL14+AL15)</formula>
    </cfRule>
  </conditionalFormatting>
  <conditionalFormatting sqref="AN13">
    <cfRule type="cellIs" dxfId="161" priority="13" stopIfTrue="1" operator="lessThan">
      <formula>0.99*(AN14+AN15)</formula>
    </cfRule>
  </conditionalFormatting>
  <conditionalFormatting sqref="AT13">
    <cfRule type="cellIs" dxfId="160" priority="12" stopIfTrue="1" operator="lessThan">
      <formula>0.99*(AT14+AT15)</formula>
    </cfRule>
  </conditionalFormatting>
  <conditionalFormatting sqref="AD10">
    <cfRule type="cellIs" dxfId="159" priority="10" stopIfTrue="1" operator="lessThan">
      <formula>AD8-AD9-(0.01*(AD8-AD9))</formula>
    </cfRule>
  </conditionalFormatting>
  <conditionalFormatting sqref="AD12">
    <cfRule type="cellIs" dxfId="158" priority="11" stopIfTrue="1" operator="lessThan">
      <formula>AD10+AD11-(0.01*(AD10+AD11))</formula>
    </cfRule>
  </conditionalFormatting>
  <conditionalFormatting sqref="AD13">
    <cfRule type="cellIs" dxfId="157" priority="9" stopIfTrue="1" operator="lessThan">
      <formula>0.99*(AD14+AD15)</formula>
    </cfRule>
  </conditionalFormatting>
  <conditionalFormatting sqref="AP10">
    <cfRule type="cellIs" dxfId="156" priority="7" stopIfTrue="1" operator="lessThan">
      <formula>AP8-AP9-(0.01*(AP8-AP9))</formula>
    </cfRule>
  </conditionalFormatting>
  <conditionalFormatting sqref="AP12">
    <cfRule type="cellIs" dxfId="155" priority="8" stopIfTrue="1" operator="lessThan">
      <formula>AP10+AP11-(0.01*(AP10+AP11))</formula>
    </cfRule>
  </conditionalFormatting>
  <conditionalFormatting sqref="AR10">
    <cfRule type="cellIs" dxfId="154" priority="5" stopIfTrue="1" operator="lessThan">
      <formula>AR8-AR9-(0.01*(AR8-AR9))</formula>
    </cfRule>
  </conditionalFormatting>
  <conditionalFormatting sqref="AR12">
    <cfRule type="cellIs" dxfId="153" priority="6" stopIfTrue="1" operator="lessThan">
      <formula>AR10+AR11-(0.01*(AR10+AR11))</formula>
    </cfRule>
  </conditionalFormatting>
  <conditionalFormatting sqref="AP13">
    <cfRule type="cellIs" dxfId="152" priority="4" stopIfTrue="1" operator="lessThan">
      <formula>0.99*(AP14+AP15)</formula>
    </cfRule>
  </conditionalFormatting>
  <conditionalFormatting sqref="AR13">
    <cfRule type="cellIs" dxfId="151" priority="3" stopIfTrue="1" operator="lessThan">
      <formula>0.99*(AR14+AR15)</formula>
    </cfRule>
  </conditionalFormatting>
  <conditionalFormatting sqref="CM26 CO23 CO26 CM23">
    <cfRule type="cellIs" dxfId="150" priority="2" stopIfTrue="1" operator="equal">
      <formula>"&lt;&gt;"</formula>
    </cfRule>
  </conditionalFormatting>
  <conditionalFormatting sqref="CM8:CM16 CO8:CO16">
    <cfRule type="cellIs" dxfId="149" priority="1" stopIfTrue="1" operator="equal">
      <formula>"&gt; 25%"</formula>
    </cfRule>
  </conditionalFormatting>
  <printOptions horizontalCentered="1"/>
  <pageMargins left="0.5" right="0.5" top="0.75" bottom="0.75" header="0.5" footer="0.5"/>
  <pageSetup paperSize="9" scale="53" firstPageNumber="15" fitToHeight="0" orientation="landscape"/>
  <headerFooter alignWithMargins="0">
    <oddFooter>&amp;CUNSD/Programa de las Naciones Unidas para el Medio Ambiente Cuestionario 2018 Estadisticas Ambientales -  Sección del Agua -  &amp;P</oddFooter>
  </headerFooter>
  <rowBreaks count="1" manualBreakCount="1">
    <brk id="32" min="2" max="45" man="1"/>
  </rowBreaks>
  <colBreaks count="1" manualBreakCount="1">
    <brk id="53" max="1048575" man="1"/>
  </colBreaks>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EG96"/>
  <sheetViews>
    <sheetView showGridLines="0" topLeftCell="C4" zoomScale="85" zoomScaleNormal="85" zoomScaleSheetLayoutView="40" zoomScalePageLayoutView="40" workbookViewId="0">
      <selection activeCell="F8" sqref="F8"/>
    </sheetView>
  </sheetViews>
  <sheetFormatPr defaultColWidth="9.33203125" defaultRowHeight="12.75" x14ac:dyDescent="0.2"/>
  <cols>
    <col min="1" max="1" width="5.83203125" style="223" hidden="1" customWidth="1"/>
    <col min="2" max="2" width="7.33203125" style="192" hidden="1" customWidth="1"/>
    <col min="3" max="3" width="8.33203125" style="228" customWidth="1"/>
    <col min="4" max="4" width="51.83203125" style="228" customWidth="1"/>
    <col min="5" max="5" width="9.33203125" style="228" customWidth="1"/>
    <col min="6" max="6" width="9.1640625" style="228" customWidth="1"/>
    <col min="7" max="7" width="1.83203125" style="232" customWidth="1"/>
    <col min="8" max="8" width="7" style="233" customWidth="1"/>
    <col min="9" max="9" width="1.83203125" style="234" customWidth="1"/>
    <col min="10" max="10" width="7.1640625" style="234" customWidth="1"/>
    <col min="11" max="11" width="1.83203125" style="234" customWidth="1"/>
    <col min="12" max="12" width="7.1640625" style="234" customWidth="1"/>
    <col min="13" max="13" width="1.83203125" style="234" customWidth="1"/>
    <col min="14" max="14" width="7.1640625" style="234" customWidth="1"/>
    <col min="15" max="15" width="1.83203125" style="234" customWidth="1"/>
    <col min="16" max="16" width="7" style="233" customWidth="1"/>
    <col min="17" max="17" width="1.83203125" style="234" customWidth="1"/>
    <col min="18" max="18" width="7" style="233" customWidth="1"/>
    <col min="19" max="19" width="1.83203125" style="234" customWidth="1"/>
    <col min="20" max="20" width="7" style="233" customWidth="1"/>
    <col min="21" max="21" width="1.83203125" style="234" customWidth="1"/>
    <col min="22" max="22" width="7" style="233" customWidth="1"/>
    <col min="23" max="23" width="1.83203125" style="232" customWidth="1"/>
    <col min="24" max="24" width="7" style="233" customWidth="1"/>
    <col min="25" max="25" width="1.83203125" style="232" customWidth="1"/>
    <col min="26" max="26" width="7" style="233" customWidth="1"/>
    <col min="27" max="27" width="1.83203125" style="232" customWidth="1"/>
    <col min="28" max="28" width="7" style="233" customWidth="1"/>
    <col min="29" max="29" width="1.83203125" style="232" customWidth="1"/>
    <col min="30" max="30" width="7" style="233" customWidth="1"/>
    <col min="31" max="31" width="1.83203125" style="232" customWidth="1"/>
    <col min="32" max="32" width="7" style="233" customWidth="1"/>
    <col min="33" max="33" width="1.83203125" style="232" customWidth="1"/>
    <col min="34" max="34" width="7" style="233" customWidth="1"/>
    <col min="35" max="35" width="1.83203125" style="234" customWidth="1"/>
    <col min="36" max="36" width="7" style="233" customWidth="1"/>
    <col min="37" max="37" width="1.83203125" style="232" customWidth="1"/>
    <col min="38" max="38" width="7" style="233" customWidth="1"/>
    <col min="39" max="39" width="1.83203125" style="232" customWidth="1"/>
    <col min="40" max="40" width="7" style="233" customWidth="1"/>
    <col min="41" max="41" width="1.83203125" style="232" customWidth="1"/>
    <col min="42" max="42" width="7" style="232" customWidth="1"/>
    <col min="43" max="43" width="2" style="232" customWidth="1"/>
    <col min="44" max="44" width="7" style="232" customWidth="1"/>
    <col min="45" max="45" width="1.83203125" style="232" customWidth="1"/>
    <col min="46" max="46" width="7" style="233" customWidth="1"/>
    <col min="47" max="47" width="1.83203125" style="228" customWidth="1"/>
    <col min="48" max="48" width="7" style="232" customWidth="1"/>
    <col min="49" max="49" width="1.83203125" style="232" customWidth="1"/>
    <col min="50" max="50" width="3" style="228" customWidth="1"/>
    <col min="51" max="51" width="2.83203125" style="700" customWidth="1"/>
    <col min="52" max="52" width="3.33203125" style="700" customWidth="1"/>
    <col min="53" max="53" width="27.33203125" style="700" customWidth="1"/>
    <col min="54" max="54" width="7.33203125" style="700" customWidth="1"/>
    <col min="55" max="55" width="4.33203125" style="700" customWidth="1"/>
    <col min="56" max="56" width="1.33203125" style="700" customWidth="1"/>
    <col min="57" max="57" width="5.33203125" style="700" customWidth="1"/>
    <col min="58" max="58" width="1.1640625" style="700" customWidth="1"/>
    <col min="59" max="59" width="5.33203125" style="700" customWidth="1"/>
    <col min="60" max="60" width="0.83203125" style="700" customWidth="1"/>
    <col min="61" max="61" width="5.33203125" style="700" customWidth="1"/>
    <col min="62" max="62" width="0.83203125" style="700" customWidth="1"/>
    <col min="63" max="63" width="5.33203125" style="700" customWidth="1"/>
    <col min="64" max="64" width="0.83203125" style="700" customWidth="1"/>
    <col min="65" max="65" width="5.33203125" style="700" customWidth="1"/>
    <col min="66" max="66" width="0.83203125" style="700" customWidth="1"/>
    <col min="67" max="67" width="5.33203125" style="700" customWidth="1"/>
    <col min="68" max="68" width="0.83203125" style="700" customWidth="1"/>
    <col min="69" max="69" width="5.33203125" style="700" customWidth="1"/>
    <col min="70" max="70" width="0.83203125" style="700" customWidth="1"/>
    <col min="71" max="71" width="5.33203125" style="700" customWidth="1"/>
    <col min="72" max="72" width="0.83203125" style="700" customWidth="1"/>
    <col min="73" max="73" width="5.33203125" style="700" customWidth="1"/>
    <col min="74" max="74" width="0.83203125" style="700" customWidth="1"/>
    <col min="75" max="75" width="5.33203125" style="700" customWidth="1"/>
    <col min="76" max="76" width="0.83203125" style="700" customWidth="1"/>
    <col min="77" max="77" width="5.33203125" style="700" customWidth="1"/>
    <col min="78" max="78" width="0.83203125" style="700" customWidth="1"/>
    <col min="79" max="79" width="5.33203125" style="700" customWidth="1"/>
    <col min="80" max="80" width="0.83203125" style="700" customWidth="1"/>
    <col min="81" max="81" width="5.33203125" style="700" customWidth="1"/>
    <col min="82" max="82" width="0.83203125" style="700" customWidth="1"/>
    <col min="83" max="83" width="5.33203125" style="700" customWidth="1"/>
    <col min="84" max="84" width="0.83203125" style="700" customWidth="1"/>
    <col min="85" max="85" width="5.33203125" style="700" customWidth="1"/>
    <col min="86" max="86" width="0.83203125" style="700" customWidth="1"/>
    <col min="87" max="87" width="5.33203125" style="700" customWidth="1"/>
    <col min="88" max="88" width="0.83203125" style="700" customWidth="1"/>
    <col min="89" max="89" width="5.33203125" style="700" customWidth="1"/>
    <col min="90" max="90" width="0.83203125" style="700" customWidth="1"/>
    <col min="91" max="91" width="5.33203125" style="700" customWidth="1"/>
    <col min="92" max="92" width="0.83203125" style="700" customWidth="1"/>
    <col min="93" max="93" width="5.33203125" style="700" customWidth="1"/>
    <col min="94" max="94" width="0.83203125" style="700" customWidth="1"/>
    <col min="95" max="95" width="5.33203125" style="700" customWidth="1"/>
    <col min="96" max="96" width="0.83203125" style="700" customWidth="1"/>
    <col min="97" max="97" width="5.33203125" style="700" customWidth="1"/>
    <col min="98" max="98" width="0.83203125" style="700" customWidth="1"/>
    <col min="99" max="137" width="9.33203125" style="349"/>
    <col min="138" max="16384" width="9.33203125" style="228"/>
  </cols>
  <sheetData>
    <row r="1" spans="1:137" ht="16.5" customHeight="1" x14ac:dyDescent="0.25">
      <c r="B1" s="192">
        <v>0</v>
      </c>
      <c r="C1" s="193" t="s">
        <v>388</v>
      </c>
      <c r="D1" s="193"/>
      <c r="E1" s="344"/>
      <c r="F1" s="344"/>
      <c r="G1" s="345"/>
      <c r="H1" s="346"/>
      <c r="I1" s="347"/>
      <c r="J1" s="347"/>
      <c r="K1" s="347"/>
      <c r="L1" s="347"/>
      <c r="M1" s="347"/>
      <c r="N1" s="347"/>
      <c r="O1" s="347"/>
      <c r="P1" s="346"/>
      <c r="Q1" s="347"/>
      <c r="R1" s="346"/>
      <c r="S1" s="347"/>
      <c r="T1" s="346"/>
      <c r="U1" s="347"/>
      <c r="V1" s="346"/>
      <c r="W1" s="345"/>
      <c r="X1" s="346"/>
      <c r="Y1" s="345"/>
      <c r="Z1" s="346"/>
      <c r="AA1" s="345"/>
      <c r="AB1" s="346"/>
      <c r="AC1" s="345"/>
      <c r="AD1" s="346"/>
      <c r="AE1" s="345"/>
      <c r="AF1" s="346"/>
      <c r="AG1" s="345"/>
      <c r="AH1" s="346"/>
      <c r="AI1" s="347"/>
      <c r="AJ1" s="346"/>
      <c r="AK1" s="345"/>
      <c r="AL1" s="346"/>
      <c r="AM1" s="345"/>
      <c r="AN1" s="346"/>
      <c r="AO1" s="345"/>
      <c r="AP1" s="345"/>
      <c r="AQ1" s="345"/>
      <c r="AR1" s="345"/>
      <c r="AS1" s="345"/>
      <c r="AT1" s="346"/>
      <c r="AU1" s="348"/>
      <c r="AV1" s="345"/>
      <c r="AW1" s="345"/>
      <c r="AX1" s="348"/>
      <c r="AZ1" s="203" t="s">
        <v>456</v>
      </c>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c r="CE1" s="474"/>
      <c r="CF1" s="474"/>
      <c r="CG1" s="474"/>
      <c r="CH1" s="474"/>
      <c r="CI1" s="474"/>
      <c r="CJ1" s="474"/>
      <c r="CK1" s="474"/>
      <c r="CL1" s="474"/>
      <c r="CM1" s="474"/>
      <c r="CN1" s="474"/>
      <c r="CO1" s="474"/>
      <c r="CP1" s="474"/>
      <c r="CQ1" s="474"/>
      <c r="CR1" s="474"/>
      <c r="CS1" s="474"/>
      <c r="CT1" s="474"/>
    </row>
    <row r="2" spans="1:137" ht="6" customHeight="1" x14ac:dyDescent="0.2">
      <c r="E2" s="350"/>
      <c r="F2" s="350"/>
      <c r="G2" s="351"/>
      <c r="H2" s="352"/>
      <c r="I2" s="353"/>
      <c r="J2" s="353"/>
      <c r="K2" s="353"/>
      <c r="L2" s="353"/>
      <c r="M2" s="353"/>
      <c r="N2" s="353"/>
      <c r="O2" s="353"/>
      <c r="P2" s="352"/>
      <c r="Q2" s="353"/>
      <c r="R2" s="352"/>
      <c r="S2" s="353"/>
      <c r="T2" s="352"/>
      <c r="U2" s="353"/>
      <c r="V2" s="352"/>
      <c r="W2" s="354"/>
      <c r="AZ2" s="474"/>
      <c r="BA2" s="474"/>
      <c r="BB2" s="474"/>
      <c r="BC2" s="474"/>
      <c r="BD2" s="474"/>
      <c r="BE2" s="474"/>
      <c r="BF2" s="474"/>
      <c r="BG2" s="474"/>
      <c r="BH2" s="474"/>
      <c r="BI2" s="474"/>
      <c r="BJ2" s="474"/>
      <c r="BK2" s="474"/>
      <c r="BL2" s="474"/>
      <c r="BM2" s="474"/>
      <c r="BN2" s="474"/>
      <c r="BO2" s="474"/>
      <c r="BP2" s="474"/>
      <c r="BQ2" s="474"/>
      <c r="BR2" s="474"/>
      <c r="BS2" s="474"/>
      <c r="BT2" s="474"/>
      <c r="BU2" s="474"/>
      <c r="BV2" s="474"/>
      <c r="BW2" s="474"/>
      <c r="BX2" s="474"/>
      <c r="BY2" s="474"/>
      <c r="BZ2" s="474"/>
      <c r="CA2" s="474"/>
      <c r="CB2" s="474"/>
      <c r="CC2" s="474"/>
      <c r="CD2" s="474"/>
      <c r="CE2" s="474"/>
      <c r="CF2" s="474"/>
      <c r="CG2" s="474"/>
      <c r="CH2" s="474"/>
      <c r="CI2" s="474"/>
      <c r="CJ2" s="474"/>
      <c r="CK2" s="474"/>
      <c r="CL2" s="474"/>
      <c r="CM2" s="474"/>
      <c r="CN2" s="474"/>
      <c r="CO2" s="474"/>
      <c r="CP2" s="474"/>
      <c r="CQ2" s="474"/>
      <c r="CR2" s="474"/>
      <c r="CS2" s="474"/>
      <c r="CT2" s="474"/>
    </row>
    <row r="3" spans="1:137" s="371" customFormat="1" ht="17.25" customHeight="1" x14ac:dyDescent="0.25">
      <c r="A3" s="294"/>
      <c r="B3" s="294">
        <v>222</v>
      </c>
      <c r="C3" s="355" t="s">
        <v>508</v>
      </c>
      <c r="D3" s="562" t="s">
        <v>254</v>
      </c>
      <c r="E3" s="429"/>
      <c r="F3" s="430"/>
      <c r="G3" s="431"/>
      <c r="H3" s="432"/>
      <c r="I3" s="433"/>
      <c r="J3" s="433"/>
      <c r="K3" s="433"/>
      <c r="L3" s="433"/>
      <c r="M3" s="433"/>
      <c r="N3" s="433"/>
      <c r="O3" s="433"/>
      <c r="P3" s="432"/>
      <c r="Q3" s="433"/>
      <c r="R3" s="432"/>
      <c r="S3" s="433"/>
      <c r="T3" s="432"/>
      <c r="U3" s="433"/>
      <c r="V3" s="432"/>
      <c r="W3" s="431"/>
      <c r="X3" s="432"/>
      <c r="Y3" s="434"/>
      <c r="Z3" s="107"/>
      <c r="AA3" s="434"/>
      <c r="AB3" s="54"/>
      <c r="AC3" s="355" t="s">
        <v>509</v>
      </c>
      <c r="AD3" s="357"/>
      <c r="AE3" s="356"/>
      <c r="AF3" s="357"/>
      <c r="AG3" s="358"/>
      <c r="AH3" s="357"/>
      <c r="AI3" s="431"/>
      <c r="AJ3" s="432"/>
      <c r="AK3" s="431"/>
      <c r="AL3" s="432"/>
      <c r="AM3" s="431"/>
      <c r="AN3" s="432"/>
      <c r="AO3" s="435"/>
      <c r="AP3" s="435"/>
      <c r="AQ3" s="435"/>
      <c r="AR3" s="435"/>
      <c r="AS3" s="435"/>
      <c r="AT3" s="436"/>
      <c r="AU3" s="436"/>
      <c r="AV3" s="435"/>
      <c r="AW3" s="435"/>
      <c r="AX3" s="436"/>
      <c r="AY3" s="361"/>
      <c r="AZ3" s="362" t="s">
        <v>432</v>
      </c>
      <c r="BA3" s="363"/>
      <c r="BB3" s="364"/>
      <c r="BC3" s="365"/>
      <c r="BD3" s="365"/>
      <c r="BE3" s="366"/>
      <c r="BF3" s="366"/>
      <c r="BG3" s="366"/>
      <c r="BH3" s="366"/>
      <c r="BI3" s="366"/>
      <c r="BJ3" s="366"/>
      <c r="BK3" s="366"/>
      <c r="BL3" s="366"/>
      <c r="BM3" s="366"/>
      <c r="BN3" s="366"/>
      <c r="BO3" s="367"/>
      <c r="BP3" s="367"/>
      <c r="BQ3" s="367"/>
      <c r="BR3" s="367"/>
      <c r="BS3" s="367"/>
      <c r="BT3" s="367"/>
      <c r="BU3" s="368"/>
      <c r="BV3" s="368"/>
      <c r="BW3" s="364"/>
      <c r="BX3" s="364"/>
      <c r="BY3" s="364"/>
      <c r="BZ3" s="364"/>
      <c r="CA3" s="364"/>
      <c r="CB3" s="364"/>
      <c r="CC3" s="368"/>
      <c r="CD3" s="368"/>
      <c r="CE3" s="364"/>
      <c r="CF3" s="364"/>
      <c r="CG3" s="364"/>
      <c r="CH3" s="364"/>
      <c r="CI3" s="364"/>
      <c r="CJ3" s="364"/>
      <c r="CK3" s="364"/>
      <c r="CL3" s="364"/>
      <c r="CM3" s="364"/>
      <c r="CN3" s="364"/>
      <c r="CO3" s="364"/>
      <c r="CP3" s="364"/>
      <c r="CQ3" s="364"/>
      <c r="CR3" s="364"/>
      <c r="CS3" s="364"/>
      <c r="CT3" s="364"/>
      <c r="CU3" s="370"/>
      <c r="CV3" s="370"/>
      <c r="CW3" s="370"/>
      <c r="CX3" s="370"/>
      <c r="CY3" s="370"/>
      <c r="CZ3" s="370"/>
      <c r="DA3" s="370"/>
      <c r="DB3" s="370"/>
      <c r="DC3" s="370"/>
      <c r="DD3" s="370"/>
      <c r="DE3" s="370"/>
      <c r="DF3" s="370"/>
      <c r="DG3" s="370"/>
      <c r="DH3" s="370"/>
      <c r="DI3" s="370"/>
      <c r="DJ3" s="370"/>
      <c r="DK3" s="370"/>
      <c r="DL3" s="370"/>
      <c r="DM3" s="370"/>
      <c r="DN3" s="370"/>
      <c r="DO3" s="370"/>
      <c r="DP3" s="370"/>
      <c r="DQ3" s="370"/>
      <c r="DR3" s="370"/>
      <c r="DS3" s="370"/>
      <c r="DT3" s="370"/>
      <c r="DU3" s="370"/>
      <c r="DV3" s="370"/>
      <c r="DW3" s="370"/>
      <c r="DX3" s="370"/>
      <c r="DY3" s="370"/>
      <c r="DZ3" s="370"/>
      <c r="EA3" s="370"/>
      <c r="EB3" s="370"/>
      <c r="EC3" s="370"/>
      <c r="ED3" s="370"/>
      <c r="EE3" s="370"/>
      <c r="EF3" s="370"/>
      <c r="EG3" s="370"/>
    </row>
    <row r="4" spans="1:137" ht="3" customHeight="1" x14ac:dyDescent="0.2">
      <c r="E4" s="372"/>
      <c r="F4" s="372"/>
      <c r="Z4" s="359"/>
      <c r="AA4" s="354"/>
      <c r="AB4" s="359"/>
      <c r="AK4" s="351"/>
      <c r="AL4" s="352"/>
      <c r="AX4" s="317"/>
      <c r="AZ4" s="334"/>
      <c r="BA4" s="334"/>
      <c r="BB4" s="474"/>
      <c r="BC4" s="474"/>
      <c r="BD4" s="474"/>
      <c r="BE4" s="474"/>
      <c r="BF4" s="474"/>
      <c r="BG4" s="474"/>
      <c r="BH4" s="474"/>
      <c r="BI4" s="474"/>
      <c r="BJ4" s="474"/>
      <c r="BK4" s="474"/>
      <c r="BL4" s="474"/>
      <c r="BM4" s="474"/>
      <c r="BN4" s="474"/>
      <c r="BO4" s="474"/>
      <c r="BP4" s="474"/>
      <c r="BQ4" s="474"/>
      <c r="BR4" s="474"/>
      <c r="BS4" s="474"/>
      <c r="BT4" s="474"/>
      <c r="BU4" s="474"/>
      <c r="BV4" s="474"/>
      <c r="BW4" s="474"/>
      <c r="BX4" s="474"/>
      <c r="BY4" s="474"/>
      <c r="BZ4" s="474"/>
      <c r="CA4" s="474"/>
      <c r="CB4" s="474"/>
      <c r="CC4" s="474"/>
      <c r="CD4" s="474"/>
      <c r="CE4" s="474"/>
      <c r="CF4" s="474"/>
      <c r="CG4" s="474"/>
      <c r="CH4" s="474"/>
      <c r="CI4" s="474"/>
      <c r="CJ4" s="474"/>
      <c r="CK4" s="474"/>
      <c r="CL4" s="474"/>
      <c r="CM4" s="474"/>
      <c r="CN4" s="474"/>
      <c r="CO4" s="474"/>
      <c r="CP4" s="474"/>
      <c r="CQ4" s="474"/>
      <c r="CR4" s="474"/>
      <c r="CS4" s="474"/>
      <c r="CT4" s="474"/>
    </row>
    <row r="5" spans="1:137" ht="17.25" customHeight="1" x14ac:dyDescent="0.25">
      <c r="B5" s="242">
        <v>23</v>
      </c>
      <c r="C5" s="822" t="s">
        <v>78</v>
      </c>
      <c r="D5" s="822"/>
      <c r="E5" s="823"/>
      <c r="F5" s="823"/>
      <c r="G5" s="823"/>
      <c r="H5" s="824"/>
      <c r="I5" s="824"/>
      <c r="J5" s="824"/>
      <c r="K5" s="824"/>
      <c r="L5" s="824"/>
      <c r="M5" s="824"/>
      <c r="N5" s="824"/>
      <c r="O5" s="824"/>
      <c r="P5" s="824"/>
      <c r="Q5" s="824"/>
      <c r="R5" s="824"/>
      <c r="S5" s="824"/>
      <c r="T5" s="824"/>
      <c r="U5" s="824"/>
      <c r="V5" s="824"/>
      <c r="W5" s="823"/>
      <c r="X5" s="824"/>
      <c r="Y5" s="823"/>
      <c r="Z5" s="824"/>
      <c r="AA5" s="823"/>
      <c r="AB5" s="824"/>
      <c r="AC5" s="823"/>
      <c r="AD5" s="824"/>
      <c r="AE5" s="823"/>
      <c r="AF5" s="824"/>
      <c r="AG5" s="823"/>
      <c r="AH5" s="824"/>
      <c r="AI5" s="824"/>
      <c r="AJ5" s="824"/>
      <c r="AK5" s="823"/>
      <c r="AL5" s="824"/>
      <c r="AM5" s="823"/>
      <c r="AN5" s="373"/>
      <c r="AO5" s="374"/>
      <c r="AP5" s="374"/>
      <c r="AQ5" s="374"/>
      <c r="AR5" s="374"/>
      <c r="AS5" s="374"/>
      <c r="AT5" s="373"/>
      <c r="AU5" s="320"/>
      <c r="AV5" s="374"/>
      <c r="AW5" s="374"/>
      <c r="AX5" s="320"/>
      <c r="AZ5" s="375" t="s">
        <v>433</v>
      </c>
      <c r="BA5" s="334"/>
      <c r="BB5" s="474"/>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4"/>
      <c r="CL5" s="474"/>
      <c r="CM5" s="474"/>
      <c r="CN5" s="474"/>
      <c r="CO5" s="474"/>
      <c r="CP5" s="474"/>
      <c r="CQ5" s="474"/>
      <c r="CR5" s="474"/>
      <c r="CS5" s="474"/>
      <c r="CT5" s="474"/>
    </row>
    <row r="6" spans="1:137" ht="18" customHeight="1" x14ac:dyDescent="0.25">
      <c r="E6" s="602"/>
      <c r="F6" s="648" t="s">
        <v>401</v>
      </c>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J6" s="376"/>
      <c r="AK6" s="377"/>
      <c r="AL6" s="376"/>
      <c r="AN6" s="376"/>
      <c r="AO6" s="378"/>
      <c r="AP6" s="378"/>
      <c r="AQ6" s="378"/>
      <c r="AR6" s="378"/>
      <c r="AS6" s="378"/>
      <c r="AT6" s="335"/>
      <c r="AV6" s="378"/>
      <c r="AW6" s="378"/>
      <c r="AX6" s="335"/>
      <c r="AZ6" s="379" t="s">
        <v>557</v>
      </c>
      <c r="BA6" s="33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O6" s="474"/>
      <c r="CP6" s="474"/>
      <c r="CQ6" s="474"/>
      <c r="CR6" s="474"/>
      <c r="CS6" s="474"/>
      <c r="CT6" s="474"/>
    </row>
    <row r="7" spans="1:137" s="246" customFormat="1" ht="21.75" customHeight="1" x14ac:dyDescent="0.2">
      <c r="A7" s="241"/>
      <c r="B7" s="242">
        <v>2</v>
      </c>
      <c r="C7" s="244" t="s">
        <v>510</v>
      </c>
      <c r="D7" s="244" t="s">
        <v>511</v>
      </c>
      <c r="E7" s="244" t="s">
        <v>512</v>
      </c>
      <c r="F7" s="571">
        <v>1990</v>
      </c>
      <c r="G7" s="572"/>
      <c r="H7" s="571">
        <v>1995</v>
      </c>
      <c r="I7" s="572"/>
      <c r="J7" s="571">
        <v>2000</v>
      </c>
      <c r="K7" s="572"/>
      <c r="L7" s="571">
        <v>2001</v>
      </c>
      <c r="M7" s="573"/>
      <c r="N7" s="571">
        <v>2002</v>
      </c>
      <c r="O7" s="573"/>
      <c r="P7" s="571">
        <v>2003</v>
      </c>
      <c r="Q7" s="573"/>
      <c r="R7" s="571">
        <v>2004</v>
      </c>
      <c r="S7" s="573"/>
      <c r="T7" s="571">
        <v>2005</v>
      </c>
      <c r="U7" s="573"/>
      <c r="V7" s="571">
        <v>2006</v>
      </c>
      <c r="W7" s="573"/>
      <c r="X7" s="571">
        <v>2007</v>
      </c>
      <c r="Y7" s="573"/>
      <c r="Z7" s="571">
        <v>2008</v>
      </c>
      <c r="AA7" s="574"/>
      <c r="AB7" s="571">
        <v>2009</v>
      </c>
      <c r="AC7" s="574"/>
      <c r="AD7" s="571">
        <v>2010</v>
      </c>
      <c r="AE7" s="573"/>
      <c r="AF7" s="571">
        <v>2011</v>
      </c>
      <c r="AG7" s="573"/>
      <c r="AH7" s="571">
        <v>2012</v>
      </c>
      <c r="AI7" s="573"/>
      <c r="AJ7" s="571">
        <v>2013</v>
      </c>
      <c r="AK7" s="573"/>
      <c r="AL7" s="571">
        <v>2014</v>
      </c>
      <c r="AM7" s="573"/>
      <c r="AN7" s="571">
        <v>2015</v>
      </c>
      <c r="AO7" s="573"/>
      <c r="AP7" s="571">
        <v>2016</v>
      </c>
      <c r="AQ7" s="573"/>
      <c r="AR7" s="571">
        <v>2017</v>
      </c>
      <c r="AS7" s="573"/>
      <c r="AT7" s="571">
        <v>2018</v>
      </c>
      <c r="AU7" s="573"/>
      <c r="AV7" s="571">
        <v>2019</v>
      </c>
      <c r="AW7" s="573"/>
      <c r="AY7" s="241"/>
      <c r="AZ7" s="244" t="s">
        <v>195</v>
      </c>
      <c r="BA7" s="244" t="s">
        <v>196</v>
      </c>
      <c r="BB7" s="244" t="s">
        <v>197</v>
      </c>
      <c r="BC7" s="243">
        <v>1990</v>
      </c>
      <c r="BD7" s="243"/>
      <c r="BE7" s="244">
        <v>1995</v>
      </c>
      <c r="BF7" s="244"/>
      <c r="BG7" s="244">
        <v>2000</v>
      </c>
      <c r="BH7" s="244"/>
      <c r="BI7" s="244">
        <v>2001</v>
      </c>
      <c r="BJ7" s="244"/>
      <c r="BK7" s="244">
        <v>2002</v>
      </c>
      <c r="BL7" s="244"/>
      <c r="BM7" s="244">
        <v>2003</v>
      </c>
      <c r="BN7" s="244"/>
      <c r="BO7" s="244">
        <v>2004</v>
      </c>
      <c r="BP7" s="244"/>
      <c r="BQ7" s="244">
        <v>2005</v>
      </c>
      <c r="BR7" s="244"/>
      <c r="BS7" s="244">
        <v>2006</v>
      </c>
      <c r="BT7" s="244"/>
      <c r="BU7" s="244">
        <v>2007</v>
      </c>
      <c r="BV7" s="244"/>
      <c r="BW7" s="244">
        <v>2008</v>
      </c>
      <c r="BX7" s="244"/>
      <c r="BY7" s="244">
        <v>2009</v>
      </c>
      <c r="BZ7" s="244"/>
      <c r="CA7" s="244">
        <v>2010</v>
      </c>
      <c r="CB7" s="244"/>
      <c r="CC7" s="244">
        <v>2011</v>
      </c>
      <c r="CD7" s="244"/>
      <c r="CE7" s="244">
        <v>2012</v>
      </c>
      <c r="CF7" s="244"/>
      <c r="CG7" s="244">
        <v>2013</v>
      </c>
      <c r="CH7" s="244"/>
      <c r="CI7" s="244">
        <v>2014</v>
      </c>
      <c r="CJ7" s="244"/>
      <c r="CK7" s="244">
        <v>2015</v>
      </c>
      <c r="CL7" s="244"/>
      <c r="CM7" s="244">
        <v>2016</v>
      </c>
      <c r="CN7" s="244"/>
      <c r="CO7" s="244">
        <v>2017</v>
      </c>
      <c r="CP7" s="244"/>
      <c r="CQ7" s="244">
        <v>2018</v>
      </c>
      <c r="CR7" s="244"/>
      <c r="CS7" s="244">
        <v>2019</v>
      </c>
      <c r="CT7" s="244"/>
      <c r="CU7" s="380"/>
      <c r="CV7" s="380"/>
      <c r="CW7" s="380"/>
      <c r="CX7" s="380"/>
      <c r="CY7" s="380"/>
      <c r="CZ7" s="380"/>
      <c r="DA7" s="380"/>
      <c r="DB7" s="380"/>
      <c r="DC7" s="380"/>
      <c r="DD7" s="380"/>
      <c r="DE7" s="380"/>
      <c r="DF7" s="380"/>
      <c r="DG7" s="380"/>
      <c r="DH7" s="380"/>
      <c r="DI7" s="380"/>
      <c r="DJ7" s="380"/>
      <c r="DK7" s="380"/>
      <c r="DL7" s="380"/>
      <c r="DM7" s="380"/>
      <c r="DN7" s="380"/>
      <c r="DO7" s="380"/>
      <c r="DP7" s="380"/>
      <c r="DQ7" s="380"/>
      <c r="DR7" s="380"/>
      <c r="DS7" s="380"/>
      <c r="DT7" s="380"/>
      <c r="DU7" s="380"/>
      <c r="DV7" s="380"/>
      <c r="DW7" s="380"/>
      <c r="DX7" s="380"/>
      <c r="DY7" s="380"/>
      <c r="DZ7" s="380"/>
      <c r="EA7" s="380"/>
      <c r="EB7" s="380"/>
      <c r="EC7" s="380"/>
      <c r="ED7" s="380"/>
      <c r="EE7" s="380"/>
      <c r="EF7" s="380"/>
      <c r="EG7" s="380"/>
    </row>
    <row r="8" spans="1:137" s="383" customFormat="1" ht="15" customHeight="1" x14ac:dyDescent="0.2">
      <c r="A8" s="241"/>
      <c r="B8" s="381">
        <v>24</v>
      </c>
      <c r="C8" s="252">
        <v>1</v>
      </c>
      <c r="D8" s="382" t="s">
        <v>529</v>
      </c>
      <c r="E8" s="252" t="s">
        <v>57</v>
      </c>
      <c r="F8" s="550"/>
      <c r="G8" s="568"/>
      <c r="H8" s="550"/>
      <c r="I8" s="568"/>
      <c r="J8" s="550"/>
      <c r="K8" s="568"/>
      <c r="L8" s="550"/>
      <c r="M8" s="568"/>
      <c r="N8" s="550"/>
      <c r="O8" s="568"/>
      <c r="P8" s="550"/>
      <c r="Q8" s="568"/>
      <c r="R8" s="550"/>
      <c r="S8" s="568"/>
      <c r="T8" s="550"/>
      <c r="U8" s="568"/>
      <c r="V8" s="550"/>
      <c r="W8" s="568"/>
      <c r="X8" s="550"/>
      <c r="Y8" s="568"/>
      <c r="Z8" s="550"/>
      <c r="AA8" s="568"/>
      <c r="AB8" s="550"/>
      <c r="AC8" s="568"/>
      <c r="AD8" s="550"/>
      <c r="AE8" s="568"/>
      <c r="AF8" s="550"/>
      <c r="AG8" s="568"/>
      <c r="AH8" s="550"/>
      <c r="AI8" s="568"/>
      <c r="AJ8" s="550"/>
      <c r="AK8" s="568"/>
      <c r="AL8" s="550"/>
      <c r="AM8" s="568"/>
      <c r="AN8" s="550"/>
      <c r="AO8" s="568"/>
      <c r="AP8" s="550"/>
      <c r="AQ8" s="568"/>
      <c r="AR8" s="550"/>
      <c r="AS8" s="568"/>
      <c r="AT8" s="550"/>
      <c r="AU8" s="568"/>
      <c r="AV8" s="550"/>
      <c r="AW8" s="568"/>
      <c r="AY8" s="384"/>
      <c r="AZ8" s="616">
        <v>1</v>
      </c>
      <c r="BA8" s="307" t="s">
        <v>466</v>
      </c>
      <c r="BB8" s="98" t="s">
        <v>453</v>
      </c>
      <c r="BC8" s="79" t="s">
        <v>457</v>
      </c>
      <c r="BD8" s="258"/>
      <c r="BE8" s="79" t="str">
        <f>IF(OR(ISBLANK(F8),ISBLANK(H8)),"N/A",IF(ABS((H8-F8)/F8)&gt;1,"&gt; 100%","ok"))</f>
        <v>N/A</v>
      </c>
      <c r="BF8" s="258"/>
      <c r="BG8" s="79" t="str">
        <f>IF(OR(ISBLANK(H8),ISBLANK(J8)),"N/A",IF(ABS((J8-H8)/H8)&gt;0.25,"&gt; 25%","ok"))</f>
        <v>N/A</v>
      </c>
      <c r="BH8" s="79"/>
      <c r="BI8" s="79" t="str">
        <f t="shared" ref="BI8:BI40" si="0">IF(OR(ISBLANK(J8),ISBLANK(L8)),"N/A",IF(ABS((L8-J8)/J8)&gt;0.25,"&gt; 25%","ok"))</f>
        <v>N/A</v>
      </c>
      <c r="BJ8" s="79"/>
      <c r="BK8" s="79" t="str">
        <f t="shared" ref="BK8:BK40" si="1">IF(OR(ISBLANK(L8),ISBLANK(N8)),"N/A",IF(ABS((N8-L8)/L8)&gt;0.25,"&gt; 25%","ok"))</f>
        <v>N/A</v>
      </c>
      <c r="BL8" s="79"/>
      <c r="BM8" s="79" t="str">
        <f t="shared" ref="BM8:BM40" si="2">IF(OR(ISBLANK(N8),ISBLANK(P8)),"N/A",IF(ABS((P8-N8)/N8)&gt;0.25,"&gt; 25%","ok"))</f>
        <v>N/A</v>
      </c>
      <c r="BN8" s="79"/>
      <c r="BO8" s="79" t="str">
        <f t="shared" ref="BO8:BO40" si="3">IF(OR(ISBLANK(P8),ISBLANK(R8)),"N/A",IF(ABS((R8-P8)/P8)&gt;0.25,"&gt; 25%","ok"))</f>
        <v>N/A</v>
      </c>
      <c r="BP8" s="79"/>
      <c r="BQ8" s="79" t="str">
        <f t="shared" ref="BQ8:BQ40" si="4">IF(OR(ISBLANK(R8),ISBLANK(T8)),"N/A",IF(ABS((T8-R8)/R8)&gt;0.25,"&gt; 25%","ok"))</f>
        <v>N/A</v>
      </c>
      <c r="BR8" s="79"/>
      <c r="BS8" s="79" t="str">
        <f t="shared" ref="BS8:BS40" si="5">IF(OR(ISBLANK(T8),ISBLANK(V8)),"N/A",IF(ABS((V8-T8)/T8)&gt;0.25,"&gt; 25%","ok"))</f>
        <v>N/A</v>
      </c>
      <c r="BT8" s="79"/>
      <c r="BU8" s="79" t="str">
        <f t="shared" ref="BU8:BU40" si="6">IF(OR(ISBLANK(V8),ISBLANK(X8)),"N/A",IF(ABS((X8-V8)/V8)&gt;0.25,"&gt; 25%","ok"))</f>
        <v>N/A</v>
      </c>
      <c r="BV8" s="79"/>
      <c r="BW8" s="79" t="str">
        <f t="shared" ref="BW8:BW40" si="7">IF(OR(ISBLANK(X8),ISBLANK(Z8)),"N/A",IF(ABS((Z8-X8)/X8)&gt;0.25,"&gt; 25%","ok"))</f>
        <v>N/A</v>
      </c>
      <c r="BX8" s="79"/>
      <c r="BY8" s="79" t="str">
        <f t="shared" ref="BY8:BY40" si="8">IF(OR(ISBLANK(Z8),ISBLANK(AB8)),"N/A",IF(ABS((AB8-Z8)/Z8)&gt;0.25,"&gt; 25%","ok"))</f>
        <v>N/A</v>
      </c>
      <c r="BZ8" s="79"/>
      <c r="CA8" s="79" t="str">
        <f t="shared" ref="CA8:CA40" si="9">IF(OR(ISBLANK(AB8),ISBLANK(AD8)),"N/A",IF(ABS((AD8-AB8)/AB8)&gt;0.25,"&gt; 25%","ok"))</f>
        <v>N/A</v>
      </c>
      <c r="CB8" s="79"/>
      <c r="CC8" s="79" t="str">
        <f t="shared" ref="CC8:CC40" si="10">IF(OR(ISBLANK(AD8),ISBLANK(AF8)),"N/A",IF(ABS((AF8-AD8)/AD8)&gt;0.25,"&gt; 25%","ok"))</f>
        <v>N/A</v>
      </c>
      <c r="CD8" s="79"/>
      <c r="CE8" s="79" t="str">
        <f t="shared" ref="CE8:CE40" si="11">IF(OR(ISBLANK(AF8),ISBLANK(AH8)),"N/A",IF(ABS((AH8-AF8)/AF8)&gt;0.25,"&gt; 25%","ok"))</f>
        <v>N/A</v>
      </c>
      <c r="CF8" s="79"/>
      <c r="CG8" s="79" t="str">
        <f t="shared" ref="CG8:CG40" si="12">IF(OR(ISBLANK(AH8),ISBLANK(AJ8)),"N/A",IF(ABS((AJ8-AH8)/AH8)&gt;0.25,"&gt; 25%","ok"))</f>
        <v>N/A</v>
      </c>
      <c r="CH8" s="79"/>
      <c r="CI8" s="79" t="str">
        <f t="shared" ref="CI8:CI40" si="13">IF(OR(ISBLANK(AJ8),ISBLANK(AL8)),"N/A",IF(ABS((AL8-AJ8)/AJ8)&gt;0.25,"&gt; 25%","ok"))</f>
        <v>N/A</v>
      </c>
      <c r="CJ8" s="79"/>
      <c r="CK8" s="79" t="str">
        <f t="shared" ref="CK8:CK40" si="14">IF(OR(ISBLANK(AL8),ISBLANK(AN8)),"N/A",IF(ABS((AN8-AL8)/AL8)&gt;0.25,"&gt; 25%","ok"))</f>
        <v>N/A</v>
      </c>
      <c r="CL8" s="79"/>
      <c r="CM8" s="79" t="str">
        <f t="shared" ref="CM8:CM40" si="15">IF(OR(ISBLANK(AN8),ISBLANK(AP8)),"N/A",IF(ABS((AP8-AN8)/AN8)&gt;0.25,"&gt; 25%","ok"))</f>
        <v>N/A</v>
      </c>
      <c r="CN8" s="79"/>
      <c r="CO8" s="79" t="str">
        <f t="shared" ref="CO8:CO40" si="16">IF(OR(ISBLANK(AP8),ISBLANK(AR8)),"N/A",IF(ABS((AR8-AP8)/AP8)&gt;0.25,"&gt; 25%","ok"))</f>
        <v>N/A</v>
      </c>
      <c r="CP8" s="79"/>
      <c r="CQ8" s="79" t="str">
        <f t="shared" ref="CQ8:CQ40" si="17">IF(OR(ISBLANK(AR8),ISBLANK(AT8)),"N/A",IF(ABS((AT8-AR8)/AR8)&gt;0.25,"&gt; 25%","ok"))</f>
        <v>N/A</v>
      </c>
      <c r="CR8" s="79"/>
      <c r="CS8" s="79" t="str">
        <f t="shared" ref="CS8:CS40" si="18">IF(OR(ISBLANK(AT8),ISBLANK(AV8)),"N/A",IF(ABS((AV8-AT8)/AT8)&gt;0.25,"&gt; 25%","ok"))</f>
        <v>N/A</v>
      </c>
      <c r="CT8" s="79"/>
      <c r="CU8" s="380"/>
      <c r="CV8" s="380"/>
      <c r="CW8" s="380"/>
      <c r="CX8" s="380"/>
      <c r="CY8" s="380"/>
      <c r="CZ8" s="380"/>
      <c r="DA8" s="380"/>
      <c r="DB8" s="380"/>
      <c r="DC8" s="380"/>
      <c r="DD8" s="380"/>
      <c r="DE8" s="380"/>
      <c r="DF8" s="380"/>
      <c r="DG8" s="380"/>
      <c r="DH8" s="380"/>
      <c r="DI8" s="380"/>
      <c r="DJ8" s="380"/>
      <c r="DK8" s="380"/>
      <c r="DL8" s="380"/>
      <c r="DM8" s="380"/>
      <c r="DN8" s="380"/>
      <c r="DO8" s="380"/>
      <c r="DP8" s="380"/>
      <c r="DQ8" s="380"/>
      <c r="DR8" s="380"/>
      <c r="DS8" s="380"/>
      <c r="DT8" s="380"/>
      <c r="DU8" s="380"/>
      <c r="DV8" s="380"/>
      <c r="DW8" s="380"/>
      <c r="DX8" s="380"/>
      <c r="DY8" s="380"/>
      <c r="DZ8" s="380"/>
      <c r="EA8" s="380"/>
      <c r="EB8" s="380"/>
      <c r="EC8" s="380"/>
      <c r="ED8" s="380"/>
      <c r="EE8" s="380"/>
      <c r="EF8" s="380"/>
      <c r="EG8" s="380"/>
    </row>
    <row r="9" spans="1:137" s="383" customFormat="1" ht="15" customHeight="1" x14ac:dyDescent="0.2">
      <c r="A9" s="241"/>
      <c r="B9" s="381">
        <v>25</v>
      </c>
      <c r="C9" s="385">
        <v>2</v>
      </c>
      <c r="D9" s="382" t="s">
        <v>531</v>
      </c>
      <c r="E9" s="252" t="s">
        <v>57</v>
      </c>
      <c r="F9" s="550"/>
      <c r="G9" s="568"/>
      <c r="H9" s="550"/>
      <c r="I9" s="568"/>
      <c r="J9" s="550"/>
      <c r="K9" s="568"/>
      <c r="L9" s="550"/>
      <c r="M9" s="568"/>
      <c r="N9" s="550"/>
      <c r="O9" s="568"/>
      <c r="P9" s="550"/>
      <c r="Q9" s="568"/>
      <c r="R9" s="550"/>
      <c r="S9" s="568"/>
      <c r="T9" s="550"/>
      <c r="U9" s="568"/>
      <c r="V9" s="550"/>
      <c r="W9" s="568"/>
      <c r="X9" s="550"/>
      <c r="Y9" s="568"/>
      <c r="Z9" s="550"/>
      <c r="AA9" s="568"/>
      <c r="AB9" s="550"/>
      <c r="AC9" s="568"/>
      <c r="AD9" s="550"/>
      <c r="AE9" s="568"/>
      <c r="AF9" s="550"/>
      <c r="AG9" s="568"/>
      <c r="AH9" s="550"/>
      <c r="AI9" s="568"/>
      <c r="AJ9" s="550"/>
      <c r="AK9" s="568"/>
      <c r="AL9" s="550"/>
      <c r="AM9" s="568"/>
      <c r="AN9" s="550"/>
      <c r="AO9" s="568"/>
      <c r="AP9" s="550"/>
      <c r="AQ9" s="568"/>
      <c r="AR9" s="550"/>
      <c r="AS9" s="568"/>
      <c r="AT9" s="550"/>
      <c r="AU9" s="568"/>
      <c r="AV9" s="550"/>
      <c r="AW9" s="568"/>
      <c r="AY9" s="386"/>
      <c r="AZ9" s="583">
        <v>2</v>
      </c>
      <c r="BA9" s="307" t="s">
        <v>467</v>
      </c>
      <c r="BB9" s="81" t="s">
        <v>453</v>
      </c>
      <c r="BC9" s="79" t="s">
        <v>457</v>
      </c>
      <c r="BD9" s="258"/>
      <c r="BE9" s="79" t="str">
        <f>IF(OR(ISBLANK(F9),ISBLANK(H9)),"N/A",IF(ABS((H9-F9)/F9)&gt;1,"&gt; 100%","ok"))</f>
        <v>N/A</v>
      </c>
      <c r="BF9" s="258"/>
      <c r="BG9" s="79" t="str">
        <f t="shared" ref="BG9:BG40" si="19">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 t="shared" si="13"/>
        <v>N/A</v>
      </c>
      <c r="CJ9" s="79"/>
      <c r="CK9" s="79" t="str">
        <f t="shared" si="14"/>
        <v>N/A</v>
      </c>
      <c r="CL9" s="79"/>
      <c r="CM9" s="79" t="str">
        <f t="shared" si="15"/>
        <v>N/A</v>
      </c>
      <c r="CN9" s="79"/>
      <c r="CO9" s="79" t="str">
        <f t="shared" si="16"/>
        <v>N/A</v>
      </c>
      <c r="CP9" s="79"/>
      <c r="CQ9" s="79" t="str">
        <f t="shared" si="17"/>
        <v>N/A</v>
      </c>
      <c r="CR9" s="79"/>
      <c r="CS9" s="79" t="str">
        <f t="shared" si="18"/>
        <v>N/A</v>
      </c>
      <c r="CT9" s="79"/>
      <c r="CU9" s="380"/>
      <c r="CV9" s="380"/>
      <c r="CW9" s="380"/>
      <c r="CX9" s="380"/>
      <c r="CY9" s="380"/>
      <c r="CZ9" s="380"/>
      <c r="DA9" s="380"/>
      <c r="DB9" s="380"/>
      <c r="DC9" s="380"/>
      <c r="DD9" s="380"/>
      <c r="DE9" s="380"/>
      <c r="DF9" s="380"/>
      <c r="DG9" s="380"/>
      <c r="DH9" s="380"/>
      <c r="DI9" s="380"/>
      <c r="DJ9" s="380"/>
      <c r="DK9" s="380"/>
      <c r="DL9" s="380"/>
      <c r="DM9" s="380"/>
      <c r="DN9" s="380"/>
      <c r="DO9" s="380"/>
      <c r="DP9" s="380"/>
      <c r="DQ9" s="380"/>
      <c r="DR9" s="380"/>
      <c r="DS9" s="380"/>
      <c r="DT9" s="380"/>
      <c r="DU9" s="380"/>
      <c r="DV9" s="380"/>
      <c r="DW9" s="380"/>
      <c r="DX9" s="380"/>
      <c r="DY9" s="380"/>
      <c r="DZ9" s="380"/>
      <c r="EA9" s="380"/>
      <c r="EB9" s="380"/>
      <c r="EC9" s="380"/>
      <c r="ED9" s="380"/>
      <c r="EE9" s="380"/>
      <c r="EF9" s="380"/>
      <c r="EG9" s="380"/>
    </row>
    <row r="10" spans="1:137" s="391" customFormat="1" ht="15" customHeight="1" x14ac:dyDescent="0.2">
      <c r="A10" s="387" t="s">
        <v>448</v>
      </c>
      <c r="B10" s="388">
        <v>5001</v>
      </c>
      <c r="C10" s="389">
        <v>3</v>
      </c>
      <c r="D10" s="390" t="s">
        <v>693</v>
      </c>
      <c r="E10" s="252" t="s">
        <v>57</v>
      </c>
      <c r="F10" s="543"/>
      <c r="G10" s="564"/>
      <c r="H10" s="543"/>
      <c r="I10" s="564"/>
      <c r="J10" s="543"/>
      <c r="K10" s="564"/>
      <c r="L10" s="543"/>
      <c r="M10" s="564"/>
      <c r="N10" s="543"/>
      <c r="O10" s="564"/>
      <c r="P10" s="543"/>
      <c r="Q10" s="564"/>
      <c r="R10" s="543"/>
      <c r="S10" s="564"/>
      <c r="T10" s="543"/>
      <c r="U10" s="564"/>
      <c r="V10" s="543"/>
      <c r="W10" s="564"/>
      <c r="X10" s="543"/>
      <c r="Y10" s="564"/>
      <c r="Z10" s="543"/>
      <c r="AA10" s="564"/>
      <c r="AB10" s="543">
        <v>373724.125</v>
      </c>
      <c r="AC10" s="564"/>
      <c r="AD10" s="543">
        <v>364708.90625</v>
      </c>
      <c r="AE10" s="564"/>
      <c r="AF10" s="543">
        <v>366061.09375</v>
      </c>
      <c r="AG10" s="564"/>
      <c r="AH10" s="543">
        <v>364655.1875</v>
      </c>
      <c r="AI10" s="564"/>
      <c r="AJ10" s="543">
        <v>362964</v>
      </c>
      <c r="AK10" s="564"/>
      <c r="AL10" s="543"/>
      <c r="AM10" s="564"/>
      <c r="AN10" s="543"/>
      <c r="AO10" s="564"/>
      <c r="AP10" s="543"/>
      <c r="AQ10" s="564"/>
      <c r="AR10" s="543"/>
      <c r="AS10" s="564"/>
      <c r="AT10" s="543"/>
      <c r="AU10" s="564"/>
      <c r="AV10" s="543"/>
      <c r="AW10" s="564"/>
      <c r="AY10" s="392"/>
      <c r="AZ10" s="612">
        <v>3</v>
      </c>
      <c r="BA10" s="394" t="s">
        <v>684</v>
      </c>
      <c r="BB10" s="81" t="s">
        <v>453</v>
      </c>
      <c r="BC10" s="105" t="s">
        <v>457</v>
      </c>
      <c r="BD10" s="395"/>
      <c r="BE10" s="79" t="str">
        <f>IF(OR(ISBLANK(F10),ISBLANK(H10)),"N/A",IF(ABS((H10-F10)/F10)&gt;1,"&gt; 100%","ok"))</f>
        <v>N/A</v>
      </c>
      <c r="BF10" s="258"/>
      <c r="BG10" s="79" t="str">
        <f t="shared" si="19"/>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ok</v>
      </c>
      <c r="CB10" s="79"/>
      <c r="CC10" s="79" t="str">
        <f t="shared" si="10"/>
        <v>ok</v>
      </c>
      <c r="CD10" s="79"/>
      <c r="CE10" s="79" t="str">
        <f t="shared" si="11"/>
        <v>ok</v>
      </c>
      <c r="CF10" s="79"/>
      <c r="CG10" s="79" t="str">
        <f t="shared" si="12"/>
        <v>ok</v>
      </c>
      <c r="CH10" s="79"/>
      <c r="CI10" s="79" t="str">
        <f t="shared" si="13"/>
        <v>N/A</v>
      </c>
      <c r="CJ10" s="79"/>
      <c r="CK10" s="79" t="str">
        <f t="shared" si="14"/>
        <v>N/A</v>
      </c>
      <c r="CL10" s="79"/>
      <c r="CM10" s="79" t="str">
        <f t="shared" si="15"/>
        <v>N/A</v>
      </c>
      <c r="CN10" s="79"/>
      <c r="CO10" s="79" t="str">
        <f t="shared" si="16"/>
        <v>N/A</v>
      </c>
      <c r="CP10" s="79"/>
      <c r="CQ10" s="79" t="str">
        <f t="shared" si="17"/>
        <v>N/A</v>
      </c>
      <c r="CR10" s="79"/>
      <c r="CS10" s="79" t="str">
        <f t="shared" si="18"/>
        <v>N/A</v>
      </c>
      <c r="CT10" s="79"/>
      <c r="CU10" s="396"/>
      <c r="CV10" s="396"/>
      <c r="CW10" s="396"/>
      <c r="CX10" s="396"/>
      <c r="CY10" s="396"/>
      <c r="CZ10" s="396"/>
      <c r="DA10" s="396"/>
      <c r="DB10" s="396"/>
      <c r="DC10" s="396"/>
      <c r="DD10" s="396"/>
      <c r="DE10" s="396"/>
      <c r="DF10" s="396"/>
      <c r="DG10" s="396"/>
      <c r="DH10" s="396"/>
      <c r="DI10" s="396"/>
      <c r="DJ10" s="396"/>
      <c r="DK10" s="396"/>
      <c r="DL10" s="396"/>
      <c r="DM10" s="396"/>
      <c r="DN10" s="396"/>
      <c r="DO10" s="396"/>
      <c r="DP10" s="396"/>
      <c r="DQ10" s="396"/>
      <c r="DR10" s="396"/>
      <c r="DS10" s="396"/>
      <c r="DT10" s="396"/>
      <c r="DU10" s="396"/>
      <c r="DV10" s="396"/>
      <c r="DW10" s="396"/>
      <c r="DX10" s="396"/>
      <c r="DY10" s="396"/>
      <c r="DZ10" s="396"/>
      <c r="EA10" s="396"/>
      <c r="EB10" s="396"/>
      <c r="EC10" s="396"/>
      <c r="ED10" s="396"/>
      <c r="EE10" s="396"/>
      <c r="EF10" s="396"/>
      <c r="EG10" s="396"/>
    </row>
    <row r="11" spans="1:137" s="391" customFormat="1" ht="15" customHeight="1" x14ac:dyDescent="0.2">
      <c r="A11" s="387"/>
      <c r="B11" s="695">
        <v>30</v>
      </c>
      <c r="C11" s="385">
        <v>4</v>
      </c>
      <c r="D11" s="382" t="s">
        <v>661</v>
      </c>
      <c r="E11" s="252" t="s">
        <v>57</v>
      </c>
      <c r="F11" s="542"/>
      <c r="G11" s="563"/>
      <c r="H11" s="542"/>
      <c r="I11" s="563"/>
      <c r="J11" s="542"/>
      <c r="K11" s="563"/>
      <c r="L11" s="542"/>
      <c r="M11" s="563"/>
      <c r="N11" s="542"/>
      <c r="O11" s="563"/>
      <c r="P11" s="542"/>
      <c r="Q11" s="563"/>
      <c r="R11" s="542"/>
      <c r="S11" s="563"/>
      <c r="T11" s="542"/>
      <c r="U11" s="563"/>
      <c r="V11" s="542"/>
      <c r="W11" s="563"/>
      <c r="X11" s="542"/>
      <c r="Y11" s="563"/>
      <c r="Z11" s="542"/>
      <c r="AA11" s="563"/>
      <c r="AB11" s="542"/>
      <c r="AC11" s="563"/>
      <c r="AD11" s="542"/>
      <c r="AE11" s="563"/>
      <c r="AF11" s="542"/>
      <c r="AG11" s="563"/>
      <c r="AH11" s="542"/>
      <c r="AI11" s="563"/>
      <c r="AJ11" s="542"/>
      <c r="AK11" s="563"/>
      <c r="AL11" s="542"/>
      <c r="AM11" s="563"/>
      <c r="AN11" s="542"/>
      <c r="AO11" s="563"/>
      <c r="AP11" s="542"/>
      <c r="AQ11" s="563"/>
      <c r="AR11" s="542"/>
      <c r="AS11" s="563"/>
      <c r="AT11" s="542"/>
      <c r="AU11" s="563"/>
      <c r="AV11" s="542"/>
      <c r="AW11" s="563"/>
      <c r="AY11" s="392"/>
      <c r="AZ11" s="612">
        <v>4</v>
      </c>
      <c r="BA11" s="660" t="s">
        <v>681</v>
      </c>
      <c r="BB11" s="583" t="s">
        <v>453</v>
      </c>
      <c r="BC11" s="105" t="s">
        <v>457</v>
      </c>
      <c r="BD11" s="395"/>
      <c r="BE11" s="79" t="str">
        <f>IF(OR(ISBLANK(F11),ISBLANK(H11)),"N/A",IF(ABS((H11-F11)/F11)&gt;1,"&gt; 100%","ok"))</f>
        <v>N/A</v>
      </c>
      <c r="BF11" s="258"/>
      <c r="BG11" s="79" t="str">
        <f t="shared" si="19"/>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 t="shared" si="13"/>
        <v>N/A</v>
      </c>
      <c r="CJ11" s="79"/>
      <c r="CK11" s="79" t="str">
        <f t="shared" si="14"/>
        <v>N/A</v>
      </c>
      <c r="CL11" s="79"/>
      <c r="CM11" s="79" t="str">
        <f t="shared" si="15"/>
        <v>N/A</v>
      </c>
      <c r="CN11" s="79"/>
      <c r="CO11" s="79" t="str">
        <f t="shared" si="16"/>
        <v>N/A</v>
      </c>
      <c r="CP11" s="79"/>
      <c r="CQ11" s="79" t="str">
        <f t="shared" si="17"/>
        <v>N/A</v>
      </c>
      <c r="CR11" s="79"/>
      <c r="CS11" s="79" t="str">
        <f t="shared" si="18"/>
        <v>N/A</v>
      </c>
      <c r="CT11" s="79"/>
      <c r="CU11" s="396"/>
      <c r="CV11" s="396"/>
      <c r="CW11" s="396"/>
      <c r="CX11" s="396"/>
      <c r="CY11" s="396"/>
      <c r="CZ11" s="396"/>
      <c r="DA11" s="396"/>
      <c r="DB11" s="396"/>
      <c r="DC11" s="396"/>
      <c r="DD11" s="396"/>
      <c r="DE11" s="396"/>
      <c r="DF11" s="396"/>
      <c r="DG11" s="396"/>
      <c r="DH11" s="396"/>
      <c r="DI11" s="396"/>
      <c r="DJ11" s="396"/>
      <c r="DK11" s="396"/>
      <c r="DL11" s="396"/>
      <c r="DM11" s="396"/>
      <c r="DN11" s="396"/>
      <c r="DO11" s="396"/>
      <c r="DP11" s="396"/>
      <c r="DQ11" s="396"/>
      <c r="DR11" s="396"/>
      <c r="DS11" s="396"/>
      <c r="DT11" s="396"/>
      <c r="DU11" s="396"/>
      <c r="DV11" s="396"/>
      <c r="DW11" s="396"/>
      <c r="DX11" s="396"/>
      <c r="DY11" s="396"/>
      <c r="DZ11" s="396"/>
      <c r="EA11" s="396"/>
      <c r="EB11" s="396"/>
      <c r="EC11" s="396"/>
      <c r="ED11" s="396"/>
      <c r="EE11" s="396"/>
      <c r="EF11" s="396"/>
      <c r="EG11" s="396"/>
    </row>
    <row r="12" spans="1:137" s="391" customFormat="1" ht="15" customHeight="1" x14ac:dyDescent="0.2">
      <c r="A12" s="387"/>
      <c r="B12" s="695">
        <v>31</v>
      </c>
      <c r="C12" s="389">
        <v>5</v>
      </c>
      <c r="D12" s="390" t="s">
        <v>671</v>
      </c>
      <c r="E12" s="252" t="s">
        <v>57</v>
      </c>
      <c r="F12" s="542"/>
      <c r="G12" s="563"/>
      <c r="H12" s="542"/>
      <c r="I12" s="563"/>
      <c r="J12" s="542"/>
      <c r="K12" s="563"/>
      <c r="L12" s="542"/>
      <c r="M12" s="563"/>
      <c r="N12" s="542"/>
      <c r="O12" s="563"/>
      <c r="P12" s="542"/>
      <c r="Q12" s="563"/>
      <c r="R12" s="542"/>
      <c r="S12" s="563"/>
      <c r="T12" s="542"/>
      <c r="U12" s="563"/>
      <c r="V12" s="542"/>
      <c r="W12" s="563"/>
      <c r="X12" s="542"/>
      <c r="Y12" s="563"/>
      <c r="Z12" s="542"/>
      <c r="AA12" s="563"/>
      <c r="AB12" s="542"/>
      <c r="AC12" s="563"/>
      <c r="AD12" s="542"/>
      <c r="AE12" s="563"/>
      <c r="AF12" s="542"/>
      <c r="AG12" s="563"/>
      <c r="AH12" s="542"/>
      <c r="AI12" s="563"/>
      <c r="AJ12" s="542"/>
      <c r="AK12" s="563"/>
      <c r="AL12" s="542"/>
      <c r="AM12" s="563"/>
      <c r="AN12" s="542"/>
      <c r="AO12" s="563"/>
      <c r="AP12" s="542"/>
      <c r="AQ12" s="563"/>
      <c r="AR12" s="542"/>
      <c r="AS12" s="563"/>
      <c r="AT12" s="542"/>
      <c r="AU12" s="563"/>
      <c r="AV12" s="542"/>
      <c r="AW12" s="563"/>
      <c r="AY12" s="392"/>
      <c r="AZ12" s="612">
        <v>5</v>
      </c>
      <c r="BA12" s="660" t="s">
        <v>682</v>
      </c>
      <c r="BB12" s="583" t="s">
        <v>453</v>
      </c>
      <c r="BC12" s="105" t="s">
        <v>457</v>
      </c>
      <c r="BD12" s="395"/>
      <c r="BE12" s="79" t="str">
        <f>IF(OR(ISBLANK(F12),ISBLANK(H12)),"N/A",IF(ABS((H12-F12)/F12)&gt;1,"&gt; 100%","ok"))</f>
        <v>N/A</v>
      </c>
      <c r="BF12" s="258"/>
      <c r="BG12" s="79" t="str">
        <f t="shared" si="19"/>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 t="shared" si="13"/>
        <v>N/A</v>
      </c>
      <c r="CJ12" s="79"/>
      <c r="CK12" s="79" t="str">
        <f t="shared" si="14"/>
        <v>N/A</v>
      </c>
      <c r="CL12" s="79"/>
      <c r="CM12" s="79" t="str">
        <f t="shared" si="15"/>
        <v>N/A</v>
      </c>
      <c r="CN12" s="79"/>
      <c r="CO12" s="79" t="str">
        <f t="shared" si="16"/>
        <v>N/A</v>
      </c>
      <c r="CP12" s="79"/>
      <c r="CQ12" s="79" t="str">
        <f t="shared" si="17"/>
        <v>N/A</v>
      </c>
      <c r="CR12" s="79"/>
      <c r="CS12" s="79" t="str">
        <f t="shared" si="18"/>
        <v>N/A</v>
      </c>
      <c r="CT12" s="79"/>
      <c r="CU12" s="396"/>
      <c r="CV12" s="396"/>
      <c r="CW12" s="396"/>
      <c r="CX12" s="396"/>
      <c r="CY12" s="396"/>
      <c r="CZ12" s="396"/>
      <c r="DA12" s="396"/>
      <c r="DB12" s="396"/>
      <c r="DC12" s="396"/>
      <c r="DD12" s="396"/>
      <c r="DE12" s="396"/>
      <c r="DF12" s="396"/>
      <c r="DG12" s="396"/>
      <c r="DH12" s="396"/>
      <c r="DI12" s="396"/>
      <c r="DJ12" s="396"/>
      <c r="DK12" s="396"/>
      <c r="DL12" s="396"/>
      <c r="DM12" s="396"/>
      <c r="DN12" s="396"/>
      <c r="DO12" s="396"/>
      <c r="DP12" s="396"/>
      <c r="DQ12" s="396"/>
      <c r="DR12" s="396"/>
      <c r="DS12" s="396"/>
      <c r="DT12" s="396"/>
      <c r="DU12" s="396"/>
      <c r="DV12" s="396"/>
      <c r="DW12" s="396"/>
      <c r="DX12" s="396"/>
      <c r="DY12" s="396"/>
      <c r="DZ12" s="396"/>
      <c r="EA12" s="396"/>
      <c r="EB12" s="396"/>
      <c r="EC12" s="396"/>
      <c r="ED12" s="396"/>
      <c r="EE12" s="396"/>
      <c r="EF12" s="396"/>
      <c r="EG12" s="396"/>
    </row>
    <row r="13" spans="1:137" s="397" customFormat="1" ht="15" customHeight="1" x14ac:dyDescent="0.2">
      <c r="A13" s="223"/>
      <c r="B13" s="381">
        <v>5002</v>
      </c>
      <c r="C13" s="385"/>
      <c r="D13" s="582" t="s">
        <v>120</v>
      </c>
      <c r="E13" s="583"/>
      <c r="F13" s="578"/>
      <c r="G13" s="579"/>
      <c r="H13" s="578"/>
      <c r="I13" s="579"/>
      <c r="J13" s="578"/>
      <c r="K13" s="579"/>
      <c r="L13" s="578"/>
      <c r="M13" s="579"/>
      <c r="N13" s="578"/>
      <c r="O13" s="579"/>
      <c r="P13" s="578"/>
      <c r="Q13" s="579"/>
      <c r="R13" s="578"/>
      <c r="S13" s="579"/>
      <c r="T13" s="578"/>
      <c r="U13" s="579"/>
      <c r="V13" s="578"/>
      <c r="W13" s="579"/>
      <c r="X13" s="578"/>
      <c r="Y13" s="579"/>
      <c r="Z13" s="578"/>
      <c r="AA13" s="579"/>
      <c r="AB13" s="578"/>
      <c r="AC13" s="579"/>
      <c r="AD13" s="578"/>
      <c r="AE13" s="579"/>
      <c r="AF13" s="578"/>
      <c r="AG13" s="579"/>
      <c r="AH13" s="578"/>
      <c r="AI13" s="579"/>
      <c r="AJ13" s="578"/>
      <c r="AK13" s="579"/>
      <c r="AL13" s="578"/>
      <c r="AM13" s="579"/>
      <c r="AN13" s="578"/>
      <c r="AO13" s="579"/>
      <c r="AP13" s="578"/>
      <c r="AQ13" s="579"/>
      <c r="AR13" s="578"/>
      <c r="AS13" s="579"/>
      <c r="AT13" s="578"/>
      <c r="AU13" s="579"/>
      <c r="AV13" s="578"/>
      <c r="AW13" s="579"/>
      <c r="AY13" s="700"/>
      <c r="AZ13" s="583"/>
      <c r="BA13" s="661" t="s">
        <v>324</v>
      </c>
      <c r="BB13" s="81"/>
      <c r="BC13" s="79"/>
      <c r="BD13" s="258"/>
      <c r="BE13" s="79"/>
      <c r="BF13" s="258"/>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349"/>
      <c r="CV13" s="349"/>
      <c r="CW13" s="349"/>
      <c r="CX13" s="349"/>
      <c r="CY13" s="349"/>
      <c r="CZ13" s="349"/>
      <c r="DA13" s="349"/>
      <c r="DB13" s="349"/>
      <c r="DC13" s="349"/>
      <c r="DD13" s="349"/>
      <c r="DE13" s="349"/>
      <c r="DF13" s="349"/>
      <c r="DG13" s="349"/>
      <c r="DH13" s="349"/>
      <c r="DI13" s="349"/>
      <c r="DJ13" s="349"/>
      <c r="DK13" s="349"/>
      <c r="DL13" s="349"/>
      <c r="DM13" s="349"/>
      <c r="DN13" s="349"/>
      <c r="DO13" s="349"/>
      <c r="DP13" s="349"/>
      <c r="DQ13" s="349"/>
      <c r="DR13" s="349"/>
      <c r="DS13" s="349"/>
      <c r="DT13" s="349"/>
      <c r="DU13" s="349"/>
      <c r="DV13" s="349"/>
      <c r="DW13" s="349"/>
      <c r="DX13" s="349"/>
      <c r="DY13" s="349"/>
      <c r="DZ13" s="349"/>
      <c r="EA13" s="349"/>
      <c r="EB13" s="349"/>
      <c r="EC13" s="349"/>
      <c r="ED13" s="349"/>
      <c r="EE13" s="349"/>
      <c r="EF13" s="349"/>
      <c r="EG13" s="349"/>
    </row>
    <row r="14" spans="1:137" s="397" customFormat="1" ht="15" customHeight="1" x14ac:dyDescent="0.2">
      <c r="A14" s="223"/>
      <c r="B14" s="381">
        <v>255</v>
      </c>
      <c r="C14" s="696">
        <v>6</v>
      </c>
      <c r="D14" s="398" t="s">
        <v>517</v>
      </c>
      <c r="E14" s="252" t="s">
        <v>57</v>
      </c>
      <c r="F14" s="550"/>
      <c r="G14" s="568"/>
      <c r="H14" s="550"/>
      <c r="I14" s="568"/>
      <c r="J14" s="550"/>
      <c r="K14" s="568"/>
      <c r="L14" s="550"/>
      <c r="M14" s="568"/>
      <c r="N14" s="550"/>
      <c r="O14" s="568"/>
      <c r="P14" s="550"/>
      <c r="Q14" s="568"/>
      <c r="R14" s="550"/>
      <c r="S14" s="568"/>
      <c r="T14" s="550"/>
      <c r="U14" s="568"/>
      <c r="V14" s="550"/>
      <c r="W14" s="568"/>
      <c r="X14" s="550"/>
      <c r="Y14" s="568"/>
      <c r="Z14" s="550"/>
      <c r="AA14" s="568"/>
      <c r="AB14" s="550"/>
      <c r="AC14" s="568"/>
      <c r="AD14" s="550"/>
      <c r="AE14" s="568"/>
      <c r="AF14" s="550"/>
      <c r="AG14" s="568"/>
      <c r="AH14" s="550"/>
      <c r="AI14" s="568"/>
      <c r="AJ14" s="550"/>
      <c r="AK14" s="568"/>
      <c r="AL14" s="550"/>
      <c r="AM14" s="568"/>
      <c r="AN14" s="550"/>
      <c r="AO14" s="568"/>
      <c r="AP14" s="550"/>
      <c r="AQ14" s="568"/>
      <c r="AR14" s="550"/>
      <c r="AS14" s="568"/>
      <c r="AT14" s="550"/>
      <c r="AU14" s="568"/>
      <c r="AV14" s="550"/>
      <c r="AW14" s="568"/>
      <c r="AY14" s="700"/>
      <c r="AZ14" s="583">
        <v>6</v>
      </c>
      <c r="BA14" s="399" t="s">
        <v>471</v>
      </c>
      <c r="BB14" s="81" t="s">
        <v>453</v>
      </c>
      <c r="BC14" s="79" t="s">
        <v>457</v>
      </c>
      <c r="BD14" s="258"/>
      <c r="BE14" s="79" t="str">
        <f t="shared" ref="BE14:BE30" si="20">IF(OR(ISBLANK(F14),ISBLANK(H14)),"N/A",IF(ABS((H14-F14)/F14)&gt;1,"&gt; 100%","ok"))</f>
        <v>N/A</v>
      </c>
      <c r="BF14" s="258"/>
      <c r="BG14" s="79" t="str">
        <f t="shared" si="19"/>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t="shared" si="13"/>
        <v>N/A</v>
      </c>
      <c r="CJ14" s="79"/>
      <c r="CK14" s="79" t="str">
        <f t="shared" si="14"/>
        <v>N/A</v>
      </c>
      <c r="CL14" s="79"/>
      <c r="CM14" s="79" t="str">
        <f t="shared" si="15"/>
        <v>N/A</v>
      </c>
      <c r="CN14" s="79"/>
      <c r="CO14" s="79" t="str">
        <f t="shared" si="16"/>
        <v>N/A</v>
      </c>
      <c r="CP14" s="79"/>
      <c r="CQ14" s="79" t="str">
        <f t="shared" si="17"/>
        <v>N/A</v>
      </c>
      <c r="CR14" s="79"/>
      <c r="CS14" s="79" t="str">
        <f t="shared" si="18"/>
        <v>N/A</v>
      </c>
      <c r="CT14" s="79"/>
      <c r="CU14" s="349"/>
      <c r="CV14" s="349"/>
      <c r="CW14" s="349"/>
      <c r="CX14" s="349"/>
      <c r="CY14" s="349"/>
      <c r="CZ14" s="349"/>
      <c r="DA14" s="349"/>
      <c r="DB14" s="349"/>
      <c r="DC14" s="349"/>
      <c r="DD14" s="349"/>
      <c r="DE14" s="349"/>
      <c r="DF14" s="349"/>
      <c r="DG14" s="349"/>
      <c r="DH14" s="349"/>
      <c r="DI14" s="349"/>
      <c r="DJ14" s="349"/>
      <c r="DK14" s="349"/>
      <c r="DL14" s="349"/>
      <c r="DM14" s="349"/>
      <c r="DN14" s="349"/>
      <c r="DO14" s="349"/>
      <c r="DP14" s="349"/>
      <c r="DQ14" s="349"/>
      <c r="DR14" s="349"/>
      <c r="DS14" s="349"/>
      <c r="DT14" s="349"/>
      <c r="DU14" s="349"/>
      <c r="DV14" s="349"/>
      <c r="DW14" s="349"/>
      <c r="DX14" s="349"/>
      <c r="DY14" s="349"/>
      <c r="DZ14" s="349"/>
      <c r="EA14" s="349"/>
      <c r="EB14" s="349"/>
      <c r="EC14" s="349"/>
      <c r="ED14" s="349"/>
      <c r="EE14" s="349"/>
      <c r="EF14" s="349"/>
      <c r="EG14" s="349"/>
    </row>
    <row r="15" spans="1:137" s="397" customFormat="1" ht="15" customHeight="1" x14ac:dyDescent="0.2">
      <c r="A15" s="223"/>
      <c r="B15" s="381">
        <v>256</v>
      </c>
      <c r="C15" s="696">
        <v>7</v>
      </c>
      <c r="D15" s="398" t="s">
        <v>518</v>
      </c>
      <c r="E15" s="252" t="s">
        <v>57</v>
      </c>
      <c r="F15" s="550"/>
      <c r="G15" s="568"/>
      <c r="H15" s="550"/>
      <c r="I15" s="568"/>
      <c r="J15" s="550"/>
      <c r="K15" s="568"/>
      <c r="L15" s="550"/>
      <c r="M15" s="568"/>
      <c r="N15" s="550"/>
      <c r="O15" s="568"/>
      <c r="P15" s="550"/>
      <c r="Q15" s="568"/>
      <c r="R15" s="550"/>
      <c r="S15" s="568"/>
      <c r="T15" s="550"/>
      <c r="U15" s="568"/>
      <c r="V15" s="550"/>
      <c r="W15" s="568"/>
      <c r="X15" s="550"/>
      <c r="Y15" s="568"/>
      <c r="Z15" s="550"/>
      <c r="AA15" s="568"/>
      <c r="AB15" s="550"/>
      <c r="AC15" s="568"/>
      <c r="AD15" s="550"/>
      <c r="AE15" s="568"/>
      <c r="AF15" s="550"/>
      <c r="AG15" s="568"/>
      <c r="AH15" s="550"/>
      <c r="AI15" s="568"/>
      <c r="AJ15" s="550"/>
      <c r="AK15" s="568"/>
      <c r="AL15" s="550"/>
      <c r="AM15" s="568"/>
      <c r="AN15" s="550"/>
      <c r="AO15" s="568"/>
      <c r="AP15" s="550"/>
      <c r="AQ15" s="568"/>
      <c r="AR15" s="550"/>
      <c r="AS15" s="568"/>
      <c r="AT15" s="550"/>
      <c r="AU15" s="568"/>
      <c r="AV15" s="550"/>
      <c r="AW15" s="568"/>
      <c r="AY15" s="700"/>
      <c r="AZ15" s="583">
        <v>7</v>
      </c>
      <c r="BA15" s="399" t="s">
        <v>270</v>
      </c>
      <c r="BB15" s="81" t="s">
        <v>453</v>
      </c>
      <c r="BC15" s="79" t="s">
        <v>457</v>
      </c>
      <c r="BD15" s="258"/>
      <c r="BE15" s="79" t="str">
        <f t="shared" si="20"/>
        <v>N/A</v>
      </c>
      <c r="BF15" s="258"/>
      <c r="BG15" s="79" t="str">
        <f t="shared" si="19"/>
        <v>N/A</v>
      </c>
      <c r="BH15" s="79"/>
      <c r="BI15" s="79" t="str">
        <f t="shared" si="0"/>
        <v>N/A</v>
      </c>
      <c r="BJ15" s="79"/>
      <c r="BK15" s="79" t="str">
        <f t="shared" si="1"/>
        <v>N/A</v>
      </c>
      <c r="BL15" s="79"/>
      <c r="BM15" s="79" t="str">
        <f t="shared" si="2"/>
        <v>N/A</v>
      </c>
      <c r="BN15" s="79"/>
      <c r="BO15" s="79" t="str">
        <f t="shared" si="3"/>
        <v>N/A</v>
      </c>
      <c r="BP15" s="79"/>
      <c r="BQ15" s="79" t="str">
        <f t="shared" si="4"/>
        <v>N/A</v>
      </c>
      <c r="BR15" s="79"/>
      <c r="BS15" s="79" t="str">
        <f t="shared" si="5"/>
        <v>N/A</v>
      </c>
      <c r="BT15" s="79"/>
      <c r="BU15" s="79" t="str">
        <f t="shared" si="6"/>
        <v>N/A</v>
      </c>
      <c r="BV15" s="79"/>
      <c r="BW15" s="79" t="str">
        <f t="shared" si="7"/>
        <v>N/A</v>
      </c>
      <c r="BX15" s="79"/>
      <c r="BY15" s="79" t="str">
        <f t="shared" si="8"/>
        <v>N/A</v>
      </c>
      <c r="BZ15" s="79"/>
      <c r="CA15" s="79" t="str">
        <f t="shared" si="9"/>
        <v>N/A</v>
      </c>
      <c r="CB15" s="79"/>
      <c r="CC15" s="79" t="str">
        <f t="shared" si="10"/>
        <v>N/A</v>
      </c>
      <c r="CD15" s="79"/>
      <c r="CE15" s="79" t="str">
        <f t="shared" si="11"/>
        <v>N/A</v>
      </c>
      <c r="CF15" s="79"/>
      <c r="CG15" s="79" t="str">
        <f t="shared" si="12"/>
        <v>N/A</v>
      </c>
      <c r="CH15" s="79"/>
      <c r="CI15" s="79" t="str">
        <f t="shared" si="13"/>
        <v>N/A</v>
      </c>
      <c r="CJ15" s="79"/>
      <c r="CK15" s="79" t="str">
        <f t="shared" si="14"/>
        <v>N/A</v>
      </c>
      <c r="CL15" s="79"/>
      <c r="CM15" s="79" t="str">
        <f t="shared" si="15"/>
        <v>N/A</v>
      </c>
      <c r="CN15" s="79"/>
      <c r="CO15" s="79" t="str">
        <f t="shared" si="16"/>
        <v>N/A</v>
      </c>
      <c r="CP15" s="79"/>
      <c r="CQ15" s="79" t="str">
        <f t="shared" si="17"/>
        <v>N/A</v>
      </c>
      <c r="CR15" s="79"/>
      <c r="CS15" s="79" t="str">
        <f t="shared" si="18"/>
        <v>N/A</v>
      </c>
      <c r="CT15" s="7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row>
    <row r="16" spans="1:137" s="397" customFormat="1" ht="15" customHeight="1" x14ac:dyDescent="0.2">
      <c r="A16" s="223"/>
      <c r="B16" s="381">
        <v>257</v>
      </c>
      <c r="C16" s="696">
        <v>8</v>
      </c>
      <c r="D16" s="398" t="s">
        <v>121</v>
      </c>
      <c r="E16" s="252" t="s">
        <v>57</v>
      </c>
      <c r="F16" s="550"/>
      <c r="G16" s="568"/>
      <c r="H16" s="550"/>
      <c r="I16" s="568"/>
      <c r="J16" s="550"/>
      <c r="K16" s="568"/>
      <c r="L16" s="550"/>
      <c r="M16" s="568"/>
      <c r="N16" s="550"/>
      <c r="O16" s="568"/>
      <c r="P16" s="550"/>
      <c r="Q16" s="568"/>
      <c r="R16" s="550"/>
      <c r="S16" s="568"/>
      <c r="T16" s="550"/>
      <c r="U16" s="568"/>
      <c r="V16" s="550"/>
      <c r="W16" s="568"/>
      <c r="X16" s="550"/>
      <c r="Y16" s="568"/>
      <c r="Z16" s="550"/>
      <c r="AA16" s="568"/>
      <c r="AB16" s="550"/>
      <c r="AC16" s="568"/>
      <c r="AD16" s="550"/>
      <c r="AE16" s="568"/>
      <c r="AF16" s="550"/>
      <c r="AG16" s="568"/>
      <c r="AH16" s="550"/>
      <c r="AI16" s="568"/>
      <c r="AJ16" s="550"/>
      <c r="AK16" s="568"/>
      <c r="AL16" s="550"/>
      <c r="AM16" s="568"/>
      <c r="AN16" s="550"/>
      <c r="AO16" s="568"/>
      <c r="AP16" s="550"/>
      <c r="AQ16" s="568"/>
      <c r="AR16" s="550"/>
      <c r="AS16" s="568"/>
      <c r="AT16" s="550"/>
      <c r="AU16" s="568"/>
      <c r="AV16" s="550"/>
      <c r="AW16" s="568"/>
      <c r="AY16" s="700"/>
      <c r="AZ16" s="583">
        <v>8</v>
      </c>
      <c r="BA16" s="399" t="s">
        <v>465</v>
      </c>
      <c r="BB16" s="81" t="s">
        <v>453</v>
      </c>
      <c r="BC16" s="79" t="s">
        <v>457</v>
      </c>
      <c r="BD16" s="258"/>
      <c r="BE16" s="79" t="str">
        <f t="shared" si="20"/>
        <v>N/A</v>
      </c>
      <c r="BF16" s="258"/>
      <c r="BG16" s="79" t="str">
        <f t="shared" si="19"/>
        <v>N/A</v>
      </c>
      <c r="BH16" s="79"/>
      <c r="BI16" s="79" t="str">
        <f t="shared" si="0"/>
        <v>N/A</v>
      </c>
      <c r="BJ16" s="79"/>
      <c r="BK16" s="79" t="str">
        <f t="shared" si="1"/>
        <v>N/A</v>
      </c>
      <c r="BL16" s="79"/>
      <c r="BM16" s="79" t="str">
        <f t="shared" si="2"/>
        <v>N/A</v>
      </c>
      <c r="BN16" s="79"/>
      <c r="BO16" s="79" t="str">
        <f t="shared" si="3"/>
        <v>N/A</v>
      </c>
      <c r="BP16" s="79"/>
      <c r="BQ16" s="79" t="str">
        <f t="shared" si="4"/>
        <v>N/A</v>
      </c>
      <c r="BR16" s="79"/>
      <c r="BS16" s="79" t="str">
        <f t="shared" si="5"/>
        <v>N/A</v>
      </c>
      <c r="BT16" s="79"/>
      <c r="BU16" s="79" t="str">
        <f t="shared" si="6"/>
        <v>N/A</v>
      </c>
      <c r="BV16" s="79"/>
      <c r="BW16" s="79" t="str">
        <f t="shared" si="7"/>
        <v>N/A</v>
      </c>
      <c r="BX16" s="79"/>
      <c r="BY16" s="79" t="str">
        <f t="shared" si="8"/>
        <v>N/A</v>
      </c>
      <c r="BZ16" s="79"/>
      <c r="CA16" s="79" t="str">
        <f t="shared" si="9"/>
        <v>N/A</v>
      </c>
      <c r="CB16" s="79"/>
      <c r="CC16" s="79" t="str">
        <f t="shared" si="10"/>
        <v>N/A</v>
      </c>
      <c r="CD16" s="79"/>
      <c r="CE16" s="79" t="str">
        <f t="shared" si="11"/>
        <v>N/A</v>
      </c>
      <c r="CF16" s="79"/>
      <c r="CG16" s="79" t="str">
        <f t="shared" si="12"/>
        <v>N/A</v>
      </c>
      <c r="CH16" s="79"/>
      <c r="CI16" s="79" t="str">
        <f t="shared" si="13"/>
        <v>N/A</v>
      </c>
      <c r="CJ16" s="79"/>
      <c r="CK16" s="79" t="str">
        <f t="shared" si="14"/>
        <v>N/A</v>
      </c>
      <c r="CL16" s="79"/>
      <c r="CM16" s="79" t="str">
        <f t="shared" si="15"/>
        <v>N/A</v>
      </c>
      <c r="CN16" s="79"/>
      <c r="CO16" s="79" t="str">
        <f t="shared" si="16"/>
        <v>N/A</v>
      </c>
      <c r="CP16" s="79"/>
      <c r="CQ16" s="79" t="str">
        <f t="shared" si="17"/>
        <v>N/A</v>
      </c>
      <c r="CR16" s="79"/>
      <c r="CS16" s="79" t="str">
        <f t="shared" si="18"/>
        <v>N/A</v>
      </c>
      <c r="CT16" s="7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row>
    <row r="17" spans="1:137" s="397" customFormat="1" ht="22.35" customHeight="1" x14ac:dyDescent="0.2">
      <c r="A17" s="223"/>
      <c r="B17" s="381">
        <v>263</v>
      </c>
      <c r="C17" s="696">
        <v>9</v>
      </c>
      <c r="D17" s="638" t="s">
        <v>565</v>
      </c>
      <c r="E17" s="252" t="s">
        <v>57</v>
      </c>
      <c r="F17" s="550"/>
      <c r="G17" s="568"/>
      <c r="H17" s="550"/>
      <c r="I17" s="568"/>
      <c r="J17" s="550"/>
      <c r="K17" s="568"/>
      <c r="L17" s="550"/>
      <c r="M17" s="568"/>
      <c r="N17" s="550"/>
      <c r="O17" s="568"/>
      <c r="P17" s="550"/>
      <c r="Q17" s="568"/>
      <c r="R17" s="550"/>
      <c r="S17" s="568"/>
      <c r="T17" s="550"/>
      <c r="U17" s="568"/>
      <c r="V17" s="550"/>
      <c r="W17" s="568"/>
      <c r="X17" s="550"/>
      <c r="Y17" s="568"/>
      <c r="Z17" s="550"/>
      <c r="AA17" s="568"/>
      <c r="AB17" s="550"/>
      <c r="AC17" s="568"/>
      <c r="AD17" s="550"/>
      <c r="AE17" s="568"/>
      <c r="AF17" s="550"/>
      <c r="AG17" s="568"/>
      <c r="AH17" s="550"/>
      <c r="AI17" s="568"/>
      <c r="AJ17" s="550"/>
      <c r="AK17" s="568"/>
      <c r="AL17" s="550"/>
      <c r="AM17" s="568"/>
      <c r="AN17" s="550"/>
      <c r="AO17" s="568"/>
      <c r="AP17" s="550"/>
      <c r="AQ17" s="568"/>
      <c r="AR17" s="550"/>
      <c r="AS17" s="568"/>
      <c r="AT17" s="550"/>
      <c r="AU17" s="568"/>
      <c r="AV17" s="550"/>
      <c r="AW17" s="568"/>
      <c r="AY17" s="700"/>
      <c r="AZ17" s="583">
        <v>9</v>
      </c>
      <c r="BA17" s="457" t="s">
        <v>569</v>
      </c>
      <c r="BB17" s="81" t="s">
        <v>453</v>
      </c>
      <c r="BC17" s="79"/>
      <c r="BD17" s="258"/>
      <c r="BE17" s="79" t="str">
        <f t="shared" si="20"/>
        <v>N/A</v>
      </c>
      <c r="BF17" s="258"/>
      <c r="BG17" s="79" t="str">
        <f t="shared" si="19"/>
        <v>N/A</v>
      </c>
      <c r="BH17" s="79"/>
      <c r="BI17" s="79" t="str">
        <f t="shared" si="0"/>
        <v>N/A</v>
      </c>
      <c r="BJ17" s="79"/>
      <c r="BK17" s="79" t="str">
        <f t="shared" si="1"/>
        <v>N/A</v>
      </c>
      <c r="BL17" s="79"/>
      <c r="BM17" s="79" t="str">
        <f t="shared" si="2"/>
        <v>N/A</v>
      </c>
      <c r="BN17" s="79"/>
      <c r="BO17" s="79" t="str">
        <f t="shared" si="3"/>
        <v>N/A</v>
      </c>
      <c r="BP17" s="79"/>
      <c r="BQ17" s="79" t="str">
        <f t="shared" si="4"/>
        <v>N/A</v>
      </c>
      <c r="BR17" s="79"/>
      <c r="BS17" s="79" t="str">
        <f t="shared" si="5"/>
        <v>N/A</v>
      </c>
      <c r="BT17" s="79"/>
      <c r="BU17" s="79" t="str">
        <f t="shared" si="6"/>
        <v>N/A</v>
      </c>
      <c r="BV17" s="79"/>
      <c r="BW17" s="79" t="str">
        <f t="shared" si="7"/>
        <v>N/A</v>
      </c>
      <c r="BX17" s="79"/>
      <c r="BY17" s="79" t="str">
        <f t="shared" si="8"/>
        <v>N/A</v>
      </c>
      <c r="BZ17" s="79"/>
      <c r="CA17" s="79" t="str">
        <f t="shared" si="9"/>
        <v>N/A</v>
      </c>
      <c r="CB17" s="79"/>
      <c r="CC17" s="79" t="str">
        <f t="shared" si="10"/>
        <v>N/A</v>
      </c>
      <c r="CD17" s="79"/>
      <c r="CE17" s="79" t="str">
        <f t="shared" si="11"/>
        <v>N/A</v>
      </c>
      <c r="CF17" s="79"/>
      <c r="CG17" s="79" t="str">
        <f t="shared" si="12"/>
        <v>N/A</v>
      </c>
      <c r="CH17" s="79"/>
      <c r="CI17" s="79" t="str">
        <f t="shared" si="13"/>
        <v>N/A</v>
      </c>
      <c r="CJ17" s="79"/>
      <c r="CK17" s="79" t="str">
        <f t="shared" si="14"/>
        <v>N/A</v>
      </c>
      <c r="CL17" s="79"/>
      <c r="CM17" s="79" t="str">
        <f t="shared" si="15"/>
        <v>N/A</v>
      </c>
      <c r="CN17" s="79"/>
      <c r="CO17" s="79" t="str">
        <f t="shared" si="16"/>
        <v>N/A</v>
      </c>
      <c r="CP17" s="79"/>
      <c r="CQ17" s="79" t="str">
        <f t="shared" si="17"/>
        <v>N/A</v>
      </c>
      <c r="CR17" s="79"/>
      <c r="CS17" s="79" t="str">
        <f t="shared" si="18"/>
        <v>N/A</v>
      </c>
      <c r="CT17" s="7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row>
    <row r="18" spans="1:137" s="397" customFormat="1" ht="15" customHeight="1" x14ac:dyDescent="0.2">
      <c r="A18" s="223"/>
      <c r="B18" s="381">
        <v>264</v>
      </c>
      <c r="C18" s="696">
        <v>10</v>
      </c>
      <c r="D18" s="639" t="s">
        <v>562</v>
      </c>
      <c r="E18" s="252" t="s">
        <v>57</v>
      </c>
      <c r="F18" s="550"/>
      <c r="G18" s="568"/>
      <c r="H18" s="550"/>
      <c r="I18" s="568"/>
      <c r="J18" s="550"/>
      <c r="K18" s="568"/>
      <c r="L18" s="550"/>
      <c r="M18" s="568"/>
      <c r="N18" s="550"/>
      <c r="O18" s="568"/>
      <c r="P18" s="550"/>
      <c r="Q18" s="568"/>
      <c r="R18" s="550"/>
      <c r="S18" s="568"/>
      <c r="T18" s="550"/>
      <c r="U18" s="568"/>
      <c r="V18" s="550"/>
      <c r="W18" s="568"/>
      <c r="X18" s="550"/>
      <c r="Y18" s="568"/>
      <c r="Z18" s="550"/>
      <c r="AA18" s="568"/>
      <c r="AB18" s="550"/>
      <c r="AC18" s="568"/>
      <c r="AD18" s="550"/>
      <c r="AE18" s="568"/>
      <c r="AF18" s="550"/>
      <c r="AG18" s="568"/>
      <c r="AH18" s="550"/>
      <c r="AI18" s="568"/>
      <c r="AJ18" s="550"/>
      <c r="AK18" s="568"/>
      <c r="AL18" s="550"/>
      <c r="AM18" s="568"/>
      <c r="AN18" s="550"/>
      <c r="AO18" s="568"/>
      <c r="AP18" s="550"/>
      <c r="AQ18" s="568"/>
      <c r="AR18" s="550"/>
      <c r="AS18" s="568"/>
      <c r="AT18" s="550"/>
      <c r="AU18" s="568"/>
      <c r="AV18" s="550"/>
      <c r="AW18" s="568"/>
      <c r="AY18" s="700"/>
      <c r="AZ18" s="583">
        <v>10</v>
      </c>
      <c r="BA18" s="399" t="s">
        <v>570</v>
      </c>
      <c r="BB18" s="81" t="s">
        <v>453</v>
      </c>
      <c r="BC18" s="79"/>
      <c r="BD18" s="258"/>
      <c r="BE18" s="79" t="str">
        <f t="shared" si="20"/>
        <v>N/A</v>
      </c>
      <c r="BF18" s="258"/>
      <c r="BG18" s="79" t="str">
        <f t="shared" si="19"/>
        <v>N/A</v>
      </c>
      <c r="BH18" s="79"/>
      <c r="BI18" s="79" t="str">
        <f t="shared" si="0"/>
        <v>N/A</v>
      </c>
      <c r="BJ18" s="79"/>
      <c r="BK18" s="79" t="str">
        <f t="shared" si="1"/>
        <v>N/A</v>
      </c>
      <c r="BL18" s="79"/>
      <c r="BM18" s="79" t="str">
        <f t="shared" si="2"/>
        <v>N/A</v>
      </c>
      <c r="BN18" s="79"/>
      <c r="BO18" s="79" t="str">
        <f t="shared" si="3"/>
        <v>N/A</v>
      </c>
      <c r="BP18" s="79"/>
      <c r="BQ18" s="79" t="str">
        <f t="shared" si="4"/>
        <v>N/A</v>
      </c>
      <c r="BR18" s="79"/>
      <c r="BS18" s="79" t="str">
        <f t="shared" si="5"/>
        <v>N/A</v>
      </c>
      <c r="BT18" s="79"/>
      <c r="BU18" s="79" t="str">
        <f t="shared" si="6"/>
        <v>N/A</v>
      </c>
      <c r="BV18" s="79"/>
      <c r="BW18" s="79" t="str">
        <f t="shared" si="7"/>
        <v>N/A</v>
      </c>
      <c r="BX18" s="79"/>
      <c r="BY18" s="79" t="str">
        <f t="shared" si="8"/>
        <v>N/A</v>
      </c>
      <c r="BZ18" s="79"/>
      <c r="CA18" s="79" t="str">
        <f t="shared" si="9"/>
        <v>N/A</v>
      </c>
      <c r="CB18" s="79"/>
      <c r="CC18" s="79" t="str">
        <f t="shared" si="10"/>
        <v>N/A</v>
      </c>
      <c r="CD18" s="79"/>
      <c r="CE18" s="79" t="str">
        <f t="shared" si="11"/>
        <v>N/A</v>
      </c>
      <c r="CF18" s="79"/>
      <c r="CG18" s="79" t="str">
        <f t="shared" si="12"/>
        <v>N/A</v>
      </c>
      <c r="CH18" s="79"/>
      <c r="CI18" s="79" t="str">
        <f t="shared" si="13"/>
        <v>N/A</v>
      </c>
      <c r="CJ18" s="79"/>
      <c r="CK18" s="79" t="str">
        <f t="shared" si="14"/>
        <v>N/A</v>
      </c>
      <c r="CL18" s="79"/>
      <c r="CM18" s="79" t="str">
        <f t="shared" si="15"/>
        <v>N/A</v>
      </c>
      <c r="CN18" s="79"/>
      <c r="CO18" s="79" t="str">
        <f t="shared" si="16"/>
        <v>N/A</v>
      </c>
      <c r="CP18" s="79"/>
      <c r="CQ18" s="79" t="str">
        <f t="shared" si="17"/>
        <v>N/A</v>
      </c>
      <c r="CR18" s="79"/>
      <c r="CS18" s="79" t="str">
        <f t="shared" si="18"/>
        <v>N/A</v>
      </c>
      <c r="CT18" s="7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row>
    <row r="19" spans="1:137" s="397" customFormat="1" ht="15" customHeight="1" x14ac:dyDescent="0.2">
      <c r="A19" s="223"/>
      <c r="B19" s="381">
        <v>258</v>
      </c>
      <c r="C19" s="696">
        <v>11</v>
      </c>
      <c r="D19" s="398" t="s">
        <v>519</v>
      </c>
      <c r="E19" s="252" t="s">
        <v>57</v>
      </c>
      <c r="F19" s="550"/>
      <c r="G19" s="568"/>
      <c r="H19" s="550"/>
      <c r="I19" s="568"/>
      <c r="J19" s="550"/>
      <c r="K19" s="568"/>
      <c r="L19" s="550"/>
      <c r="M19" s="568"/>
      <c r="N19" s="550"/>
      <c r="O19" s="568"/>
      <c r="P19" s="550"/>
      <c r="Q19" s="568"/>
      <c r="R19" s="550"/>
      <c r="S19" s="568"/>
      <c r="T19" s="550"/>
      <c r="U19" s="568"/>
      <c r="V19" s="550"/>
      <c r="W19" s="568"/>
      <c r="X19" s="550"/>
      <c r="Y19" s="568"/>
      <c r="Z19" s="550"/>
      <c r="AA19" s="568"/>
      <c r="AB19" s="550"/>
      <c r="AC19" s="568"/>
      <c r="AD19" s="550"/>
      <c r="AE19" s="568"/>
      <c r="AF19" s="550"/>
      <c r="AG19" s="568"/>
      <c r="AH19" s="550"/>
      <c r="AI19" s="568"/>
      <c r="AJ19" s="550"/>
      <c r="AK19" s="568"/>
      <c r="AL19" s="550"/>
      <c r="AM19" s="568"/>
      <c r="AN19" s="550"/>
      <c r="AO19" s="568"/>
      <c r="AP19" s="550"/>
      <c r="AQ19" s="568"/>
      <c r="AR19" s="550"/>
      <c r="AS19" s="568"/>
      <c r="AT19" s="550"/>
      <c r="AU19" s="568"/>
      <c r="AV19" s="550"/>
      <c r="AW19" s="568"/>
      <c r="AY19" s="700"/>
      <c r="AZ19" s="583">
        <v>11</v>
      </c>
      <c r="BA19" s="399" t="s">
        <v>367</v>
      </c>
      <c r="BB19" s="81" t="s">
        <v>453</v>
      </c>
      <c r="BC19" s="79" t="s">
        <v>457</v>
      </c>
      <c r="BD19" s="258"/>
      <c r="BE19" s="79" t="str">
        <f t="shared" si="20"/>
        <v>N/A</v>
      </c>
      <c r="BF19" s="258"/>
      <c r="BG19" s="79" t="str">
        <f t="shared" si="19"/>
        <v>N/A</v>
      </c>
      <c r="BH19" s="79"/>
      <c r="BI19" s="79" t="str">
        <f t="shared" si="0"/>
        <v>N/A</v>
      </c>
      <c r="BJ19" s="79"/>
      <c r="BK19" s="79" t="str">
        <f t="shared" si="1"/>
        <v>N/A</v>
      </c>
      <c r="BL19" s="79"/>
      <c r="BM19" s="79" t="str">
        <f t="shared" si="2"/>
        <v>N/A</v>
      </c>
      <c r="BN19" s="79"/>
      <c r="BO19" s="79" t="str">
        <f t="shared" si="3"/>
        <v>N/A</v>
      </c>
      <c r="BP19" s="79"/>
      <c r="BQ19" s="79" t="str">
        <f t="shared" si="4"/>
        <v>N/A</v>
      </c>
      <c r="BR19" s="79"/>
      <c r="BS19" s="79" t="str">
        <f t="shared" si="5"/>
        <v>N/A</v>
      </c>
      <c r="BT19" s="79"/>
      <c r="BU19" s="79" t="str">
        <f t="shared" si="6"/>
        <v>N/A</v>
      </c>
      <c r="BV19" s="79"/>
      <c r="BW19" s="79" t="str">
        <f t="shared" si="7"/>
        <v>N/A</v>
      </c>
      <c r="BX19" s="79"/>
      <c r="BY19" s="79" t="str">
        <f t="shared" si="8"/>
        <v>N/A</v>
      </c>
      <c r="BZ19" s="79"/>
      <c r="CA19" s="79" t="str">
        <f t="shared" si="9"/>
        <v>N/A</v>
      </c>
      <c r="CB19" s="79"/>
      <c r="CC19" s="79" t="str">
        <f t="shared" si="10"/>
        <v>N/A</v>
      </c>
      <c r="CD19" s="79"/>
      <c r="CE19" s="79" t="str">
        <f t="shared" si="11"/>
        <v>N/A</v>
      </c>
      <c r="CF19" s="79"/>
      <c r="CG19" s="79" t="str">
        <f t="shared" si="12"/>
        <v>N/A</v>
      </c>
      <c r="CH19" s="79"/>
      <c r="CI19" s="79" t="str">
        <f t="shared" si="13"/>
        <v>N/A</v>
      </c>
      <c r="CJ19" s="79"/>
      <c r="CK19" s="79" t="str">
        <f t="shared" si="14"/>
        <v>N/A</v>
      </c>
      <c r="CL19" s="79"/>
      <c r="CM19" s="79" t="str">
        <f t="shared" si="15"/>
        <v>N/A</v>
      </c>
      <c r="CN19" s="79"/>
      <c r="CO19" s="79" t="str">
        <f t="shared" si="16"/>
        <v>N/A</v>
      </c>
      <c r="CP19" s="79"/>
      <c r="CQ19" s="79" t="str">
        <f t="shared" si="17"/>
        <v>N/A</v>
      </c>
      <c r="CR19" s="79"/>
      <c r="CS19" s="79" t="str">
        <f t="shared" si="18"/>
        <v>N/A</v>
      </c>
      <c r="CT19" s="7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row>
    <row r="20" spans="1:137" s="397" customFormat="1" ht="23.45" customHeight="1" x14ac:dyDescent="0.2">
      <c r="A20" s="223"/>
      <c r="B20" s="381">
        <v>265</v>
      </c>
      <c r="C20" s="696">
        <v>12</v>
      </c>
      <c r="D20" s="639" t="s">
        <v>563</v>
      </c>
      <c r="E20" s="252" t="s">
        <v>57</v>
      </c>
      <c r="F20" s="550"/>
      <c r="G20" s="568"/>
      <c r="H20" s="550"/>
      <c r="I20" s="568"/>
      <c r="J20" s="550"/>
      <c r="K20" s="568"/>
      <c r="L20" s="550"/>
      <c r="M20" s="568"/>
      <c r="N20" s="550"/>
      <c r="O20" s="568"/>
      <c r="P20" s="550"/>
      <c r="Q20" s="568"/>
      <c r="R20" s="550"/>
      <c r="S20" s="568"/>
      <c r="T20" s="550"/>
      <c r="U20" s="568"/>
      <c r="V20" s="550"/>
      <c r="W20" s="568"/>
      <c r="X20" s="550"/>
      <c r="Y20" s="568"/>
      <c r="Z20" s="550"/>
      <c r="AA20" s="568"/>
      <c r="AB20" s="550"/>
      <c r="AC20" s="568"/>
      <c r="AD20" s="550"/>
      <c r="AE20" s="568"/>
      <c r="AF20" s="550"/>
      <c r="AG20" s="568"/>
      <c r="AH20" s="550"/>
      <c r="AI20" s="568"/>
      <c r="AJ20" s="550"/>
      <c r="AK20" s="568"/>
      <c r="AL20" s="550"/>
      <c r="AM20" s="568"/>
      <c r="AN20" s="550"/>
      <c r="AO20" s="568"/>
      <c r="AP20" s="550"/>
      <c r="AQ20" s="568"/>
      <c r="AR20" s="550"/>
      <c r="AS20" s="568"/>
      <c r="AT20" s="550"/>
      <c r="AU20" s="568"/>
      <c r="AV20" s="550"/>
      <c r="AW20" s="568"/>
      <c r="AY20" s="700"/>
      <c r="AZ20" s="583">
        <v>12</v>
      </c>
      <c r="BA20" s="399" t="s">
        <v>571</v>
      </c>
      <c r="BB20" s="81" t="s">
        <v>453</v>
      </c>
      <c r="BC20" s="79"/>
      <c r="BD20" s="258"/>
      <c r="BE20" s="79" t="str">
        <f t="shared" si="20"/>
        <v>N/A</v>
      </c>
      <c r="BF20" s="258"/>
      <c r="BG20" s="79" t="str">
        <f t="shared" si="19"/>
        <v>N/A</v>
      </c>
      <c r="BH20" s="79"/>
      <c r="BI20" s="79" t="str">
        <f t="shared" si="0"/>
        <v>N/A</v>
      </c>
      <c r="BJ20" s="79"/>
      <c r="BK20" s="79" t="str">
        <f t="shared" si="1"/>
        <v>N/A</v>
      </c>
      <c r="BL20" s="79"/>
      <c r="BM20" s="79" t="str">
        <f t="shared" si="2"/>
        <v>N/A</v>
      </c>
      <c r="BN20" s="79"/>
      <c r="BO20" s="79" t="str">
        <f t="shared" si="3"/>
        <v>N/A</v>
      </c>
      <c r="BP20" s="79"/>
      <c r="BQ20" s="79" t="str">
        <f t="shared" si="4"/>
        <v>N/A</v>
      </c>
      <c r="BR20" s="79"/>
      <c r="BS20" s="79" t="str">
        <f t="shared" si="5"/>
        <v>N/A</v>
      </c>
      <c r="BT20" s="79"/>
      <c r="BU20" s="79" t="str">
        <f t="shared" si="6"/>
        <v>N/A</v>
      </c>
      <c r="BV20" s="79"/>
      <c r="BW20" s="79" t="str">
        <f t="shared" si="7"/>
        <v>N/A</v>
      </c>
      <c r="BX20" s="79"/>
      <c r="BY20" s="79" t="str">
        <f t="shared" si="8"/>
        <v>N/A</v>
      </c>
      <c r="BZ20" s="79"/>
      <c r="CA20" s="79" t="str">
        <f t="shared" si="9"/>
        <v>N/A</v>
      </c>
      <c r="CB20" s="79"/>
      <c r="CC20" s="79" t="str">
        <f t="shared" si="10"/>
        <v>N/A</v>
      </c>
      <c r="CD20" s="79"/>
      <c r="CE20" s="79" t="str">
        <f t="shared" si="11"/>
        <v>N/A</v>
      </c>
      <c r="CF20" s="79"/>
      <c r="CG20" s="79" t="str">
        <f t="shared" si="12"/>
        <v>N/A</v>
      </c>
      <c r="CH20" s="79"/>
      <c r="CI20" s="79" t="str">
        <f t="shared" si="13"/>
        <v>N/A</v>
      </c>
      <c r="CJ20" s="79"/>
      <c r="CK20" s="79" t="str">
        <f t="shared" si="14"/>
        <v>N/A</v>
      </c>
      <c r="CL20" s="79"/>
      <c r="CM20" s="79" t="str">
        <f t="shared" si="15"/>
        <v>N/A</v>
      </c>
      <c r="CN20" s="79"/>
      <c r="CO20" s="79" t="str">
        <f t="shared" si="16"/>
        <v>N/A</v>
      </c>
      <c r="CP20" s="79"/>
      <c r="CQ20" s="79" t="str">
        <f t="shared" si="17"/>
        <v>N/A</v>
      </c>
      <c r="CR20" s="79"/>
      <c r="CS20" s="79" t="str">
        <f t="shared" si="18"/>
        <v>N/A</v>
      </c>
      <c r="CT20" s="7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row>
    <row r="21" spans="1:137" s="397" customFormat="1" ht="27.6" customHeight="1" x14ac:dyDescent="0.2">
      <c r="A21" s="223"/>
      <c r="B21" s="381">
        <v>259</v>
      </c>
      <c r="C21" s="696">
        <v>13</v>
      </c>
      <c r="D21" s="453" t="s">
        <v>566</v>
      </c>
      <c r="E21" s="252" t="s">
        <v>57</v>
      </c>
      <c r="F21" s="550"/>
      <c r="G21" s="568"/>
      <c r="H21" s="550"/>
      <c r="I21" s="568"/>
      <c r="J21" s="550"/>
      <c r="K21" s="568"/>
      <c r="L21" s="550"/>
      <c r="M21" s="568"/>
      <c r="N21" s="550"/>
      <c r="O21" s="568"/>
      <c r="P21" s="550"/>
      <c r="Q21" s="568"/>
      <c r="R21" s="550"/>
      <c r="S21" s="568"/>
      <c r="T21" s="550"/>
      <c r="U21" s="568"/>
      <c r="V21" s="550"/>
      <c r="W21" s="568"/>
      <c r="X21" s="550"/>
      <c r="Y21" s="568"/>
      <c r="Z21" s="550"/>
      <c r="AA21" s="568"/>
      <c r="AB21" s="550"/>
      <c r="AC21" s="568"/>
      <c r="AD21" s="550"/>
      <c r="AE21" s="568"/>
      <c r="AF21" s="550"/>
      <c r="AG21" s="568"/>
      <c r="AH21" s="550"/>
      <c r="AI21" s="568"/>
      <c r="AJ21" s="550"/>
      <c r="AK21" s="568"/>
      <c r="AL21" s="550"/>
      <c r="AM21" s="568"/>
      <c r="AN21" s="550"/>
      <c r="AO21" s="568"/>
      <c r="AP21" s="550"/>
      <c r="AQ21" s="568"/>
      <c r="AR21" s="550"/>
      <c r="AS21" s="568"/>
      <c r="AT21" s="550"/>
      <c r="AU21" s="568"/>
      <c r="AV21" s="550"/>
      <c r="AW21" s="568"/>
      <c r="AY21" s="700"/>
      <c r="AZ21" s="583">
        <v>13</v>
      </c>
      <c r="BA21" s="456" t="s">
        <v>572</v>
      </c>
      <c r="BB21" s="81" t="s">
        <v>453</v>
      </c>
      <c r="BC21" s="79" t="s">
        <v>457</v>
      </c>
      <c r="BD21" s="258"/>
      <c r="BE21" s="79" t="str">
        <f t="shared" si="20"/>
        <v>N/A</v>
      </c>
      <c r="BF21" s="258"/>
      <c r="BG21" s="79" t="str">
        <f t="shared" si="19"/>
        <v>N/A</v>
      </c>
      <c r="BH21" s="79"/>
      <c r="BI21" s="79" t="str">
        <f t="shared" si="0"/>
        <v>N/A</v>
      </c>
      <c r="BJ21" s="79"/>
      <c r="BK21" s="79" t="str">
        <f t="shared" si="1"/>
        <v>N/A</v>
      </c>
      <c r="BL21" s="79"/>
      <c r="BM21" s="79" t="str">
        <f t="shared" si="2"/>
        <v>N/A</v>
      </c>
      <c r="BN21" s="79"/>
      <c r="BO21" s="79" t="str">
        <f t="shared" si="3"/>
        <v>N/A</v>
      </c>
      <c r="BP21" s="79"/>
      <c r="BQ21" s="79" t="str">
        <f t="shared" si="4"/>
        <v>N/A</v>
      </c>
      <c r="BR21" s="79"/>
      <c r="BS21" s="79" t="str">
        <f t="shared" si="5"/>
        <v>N/A</v>
      </c>
      <c r="BT21" s="79"/>
      <c r="BU21" s="79" t="str">
        <f t="shared" si="6"/>
        <v>N/A</v>
      </c>
      <c r="BV21" s="79"/>
      <c r="BW21" s="79" t="str">
        <f t="shared" si="7"/>
        <v>N/A</v>
      </c>
      <c r="BX21" s="79"/>
      <c r="BY21" s="79" t="str">
        <f t="shared" si="8"/>
        <v>N/A</v>
      </c>
      <c r="BZ21" s="79"/>
      <c r="CA21" s="79" t="str">
        <f t="shared" si="9"/>
        <v>N/A</v>
      </c>
      <c r="CB21" s="79"/>
      <c r="CC21" s="79" t="str">
        <f t="shared" si="10"/>
        <v>N/A</v>
      </c>
      <c r="CD21" s="79"/>
      <c r="CE21" s="79" t="str">
        <f t="shared" si="11"/>
        <v>N/A</v>
      </c>
      <c r="CF21" s="79"/>
      <c r="CG21" s="79" t="str">
        <f t="shared" si="12"/>
        <v>N/A</v>
      </c>
      <c r="CH21" s="79"/>
      <c r="CI21" s="79" t="str">
        <f t="shared" si="13"/>
        <v>N/A</v>
      </c>
      <c r="CJ21" s="79"/>
      <c r="CK21" s="79" t="str">
        <f t="shared" si="14"/>
        <v>N/A</v>
      </c>
      <c r="CL21" s="79"/>
      <c r="CM21" s="79" t="str">
        <f t="shared" si="15"/>
        <v>N/A</v>
      </c>
      <c r="CN21" s="79"/>
      <c r="CO21" s="79" t="str">
        <f t="shared" si="16"/>
        <v>N/A</v>
      </c>
      <c r="CP21" s="79"/>
      <c r="CQ21" s="79" t="str">
        <f t="shared" si="17"/>
        <v>N/A</v>
      </c>
      <c r="CR21" s="79"/>
      <c r="CS21" s="79" t="str">
        <f t="shared" si="18"/>
        <v>N/A</v>
      </c>
      <c r="CT21" s="7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row>
    <row r="22" spans="1:137" s="397" customFormat="1" ht="15" customHeight="1" x14ac:dyDescent="0.2">
      <c r="A22" s="223"/>
      <c r="B22" s="381">
        <v>266</v>
      </c>
      <c r="C22" s="696">
        <v>14</v>
      </c>
      <c r="D22" s="640" t="s">
        <v>564</v>
      </c>
      <c r="E22" s="252" t="s">
        <v>57</v>
      </c>
      <c r="F22" s="550"/>
      <c r="G22" s="568"/>
      <c r="H22" s="550"/>
      <c r="I22" s="568"/>
      <c r="J22" s="550"/>
      <c r="K22" s="568"/>
      <c r="L22" s="550"/>
      <c r="M22" s="568"/>
      <c r="N22" s="550"/>
      <c r="O22" s="568"/>
      <c r="P22" s="550"/>
      <c r="Q22" s="568"/>
      <c r="R22" s="550"/>
      <c r="S22" s="568"/>
      <c r="T22" s="550"/>
      <c r="U22" s="568"/>
      <c r="V22" s="550"/>
      <c r="W22" s="568"/>
      <c r="X22" s="550"/>
      <c r="Y22" s="568"/>
      <c r="Z22" s="550"/>
      <c r="AA22" s="568"/>
      <c r="AB22" s="550"/>
      <c r="AC22" s="568"/>
      <c r="AD22" s="550"/>
      <c r="AE22" s="568"/>
      <c r="AF22" s="550"/>
      <c r="AG22" s="568"/>
      <c r="AH22" s="550"/>
      <c r="AI22" s="568"/>
      <c r="AJ22" s="550"/>
      <c r="AK22" s="568"/>
      <c r="AL22" s="550"/>
      <c r="AM22" s="568"/>
      <c r="AN22" s="550"/>
      <c r="AO22" s="568"/>
      <c r="AP22" s="550"/>
      <c r="AQ22" s="568"/>
      <c r="AR22" s="550"/>
      <c r="AS22" s="568"/>
      <c r="AT22" s="550"/>
      <c r="AU22" s="568"/>
      <c r="AV22" s="550"/>
      <c r="AW22" s="568"/>
      <c r="AY22" s="700"/>
      <c r="AZ22" s="583">
        <v>14</v>
      </c>
      <c r="BA22" s="400" t="s">
        <v>573</v>
      </c>
      <c r="BB22" s="81" t="s">
        <v>453</v>
      </c>
      <c r="BC22" s="79"/>
      <c r="BD22" s="258"/>
      <c r="BE22" s="79" t="str">
        <f t="shared" si="20"/>
        <v>N/A</v>
      </c>
      <c r="BF22" s="258"/>
      <c r="BG22" s="79" t="str">
        <f t="shared" si="19"/>
        <v>N/A</v>
      </c>
      <c r="BH22" s="79"/>
      <c r="BI22" s="79" t="str">
        <f t="shared" si="0"/>
        <v>N/A</v>
      </c>
      <c r="BJ22" s="79"/>
      <c r="BK22" s="79" t="str">
        <f t="shared" si="1"/>
        <v>N/A</v>
      </c>
      <c r="BL22" s="79"/>
      <c r="BM22" s="79" t="str">
        <f t="shared" si="2"/>
        <v>N/A</v>
      </c>
      <c r="BN22" s="79"/>
      <c r="BO22" s="79" t="str">
        <f t="shared" si="3"/>
        <v>N/A</v>
      </c>
      <c r="BP22" s="79"/>
      <c r="BQ22" s="79" t="str">
        <f t="shared" si="4"/>
        <v>N/A</v>
      </c>
      <c r="BR22" s="79"/>
      <c r="BS22" s="79" t="str">
        <f t="shared" si="5"/>
        <v>N/A</v>
      </c>
      <c r="BT22" s="79"/>
      <c r="BU22" s="79" t="str">
        <f t="shared" si="6"/>
        <v>N/A</v>
      </c>
      <c r="BV22" s="79"/>
      <c r="BW22" s="79" t="str">
        <f t="shared" si="7"/>
        <v>N/A</v>
      </c>
      <c r="BX22" s="79"/>
      <c r="BY22" s="79" t="str">
        <f t="shared" si="8"/>
        <v>N/A</v>
      </c>
      <c r="BZ22" s="79"/>
      <c r="CA22" s="79" t="str">
        <f t="shared" si="9"/>
        <v>N/A</v>
      </c>
      <c r="CB22" s="79"/>
      <c r="CC22" s="79" t="str">
        <f t="shared" si="10"/>
        <v>N/A</v>
      </c>
      <c r="CD22" s="79"/>
      <c r="CE22" s="79" t="str">
        <f t="shared" si="11"/>
        <v>N/A</v>
      </c>
      <c r="CF22" s="79"/>
      <c r="CG22" s="79" t="str">
        <f t="shared" si="12"/>
        <v>N/A</v>
      </c>
      <c r="CH22" s="79"/>
      <c r="CI22" s="79" t="str">
        <f t="shared" si="13"/>
        <v>N/A</v>
      </c>
      <c r="CJ22" s="79"/>
      <c r="CK22" s="79" t="str">
        <f t="shared" si="14"/>
        <v>N/A</v>
      </c>
      <c r="CL22" s="79"/>
      <c r="CM22" s="79" t="str">
        <f t="shared" si="15"/>
        <v>N/A</v>
      </c>
      <c r="CN22" s="79"/>
      <c r="CO22" s="79" t="str">
        <f t="shared" si="16"/>
        <v>N/A</v>
      </c>
      <c r="CP22" s="79"/>
      <c r="CQ22" s="79" t="str">
        <f t="shared" si="17"/>
        <v>N/A</v>
      </c>
      <c r="CR22" s="79"/>
      <c r="CS22" s="79" t="str">
        <f t="shared" si="18"/>
        <v>N/A</v>
      </c>
      <c r="CT22" s="7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row>
    <row r="23" spans="1:137" s="397" customFormat="1" ht="15" customHeight="1" x14ac:dyDescent="0.2">
      <c r="A23" s="223"/>
      <c r="B23" s="381">
        <v>267</v>
      </c>
      <c r="C23" s="696">
        <v>15</v>
      </c>
      <c r="D23" s="398" t="s">
        <v>520</v>
      </c>
      <c r="E23" s="252" t="s">
        <v>57</v>
      </c>
      <c r="F23" s="550"/>
      <c r="G23" s="568"/>
      <c r="H23" s="550"/>
      <c r="I23" s="568"/>
      <c r="J23" s="550"/>
      <c r="K23" s="568"/>
      <c r="L23" s="550"/>
      <c r="M23" s="568"/>
      <c r="N23" s="550"/>
      <c r="O23" s="568"/>
      <c r="P23" s="550"/>
      <c r="Q23" s="568"/>
      <c r="R23" s="550"/>
      <c r="S23" s="568"/>
      <c r="T23" s="550"/>
      <c r="U23" s="568"/>
      <c r="V23" s="550"/>
      <c r="W23" s="568"/>
      <c r="X23" s="550"/>
      <c r="Y23" s="568"/>
      <c r="Z23" s="550"/>
      <c r="AA23" s="568"/>
      <c r="AB23" s="550"/>
      <c r="AC23" s="568"/>
      <c r="AD23" s="550"/>
      <c r="AE23" s="568"/>
      <c r="AF23" s="550"/>
      <c r="AG23" s="568"/>
      <c r="AH23" s="550"/>
      <c r="AI23" s="568"/>
      <c r="AJ23" s="550"/>
      <c r="AK23" s="568"/>
      <c r="AL23" s="550"/>
      <c r="AM23" s="568"/>
      <c r="AN23" s="550"/>
      <c r="AO23" s="568"/>
      <c r="AP23" s="550"/>
      <c r="AQ23" s="568"/>
      <c r="AR23" s="550"/>
      <c r="AS23" s="568"/>
      <c r="AT23" s="550"/>
      <c r="AU23" s="568"/>
      <c r="AV23" s="550"/>
      <c r="AW23" s="568"/>
      <c r="AY23" s="700"/>
      <c r="AZ23" s="583">
        <v>15</v>
      </c>
      <c r="BA23" s="399" t="s">
        <v>205</v>
      </c>
      <c r="BB23" s="81" t="s">
        <v>453</v>
      </c>
      <c r="BC23" s="105" t="s">
        <v>457</v>
      </c>
      <c r="BD23" s="258"/>
      <c r="BE23" s="79" t="str">
        <f t="shared" si="20"/>
        <v>N/A</v>
      </c>
      <c r="BF23" s="258"/>
      <c r="BG23" s="79" t="str">
        <f t="shared" si="19"/>
        <v>N/A</v>
      </c>
      <c r="BH23" s="79"/>
      <c r="BI23" s="79" t="str">
        <f t="shared" si="0"/>
        <v>N/A</v>
      </c>
      <c r="BJ23" s="79"/>
      <c r="BK23" s="79" t="str">
        <f t="shared" si="1"/>
        <v>N/A</v>
      </c>
      <c r="BL23" s="79"/>
      <c r="BM23" s="79" t="str">
        <f t="shared" si="2"/>
        <v>N/A</v>
      </c>
      <c r="BN23" s="79"/>
      <c r="BO23" s="79" t="str">
        <f t="shared" si="3"/>
        <v>N/A</v>
      </c>
      <c r="BP23" s="79"/>
      <c r="BQ23" s="79" t="str">
        <f t="shared" si="4"/>
        <v>N/A</v>
      </c>
      <c r="BR23" s="79"/>
      <c r="BS23" s="79" t="str">
        <f t="shared" si="5"/>
        <v>N/A</v>
      </c>
      <c r="BT23" s="79"/>
      <c r="BU23" s="79" t="str">
        <f t="shared" si="6"/>
        <v>N/A</v>
      </c>
      <c r="BV23" s="79"/>
      <c r="BW23" s="79" t="str">
        <f t="shared" si="7"/>
        <v>N/A</v>
      </c>
      <c r="BX23" s="79"/>
      <c r="BY23" s="79" t="str">
        <f t="shared" si="8"/>
        <v>N/A</v>
      </c>
      <c r="BZ23" s="79"/>
      <c r="CA23" s="79" t="str">
        <f t="shared" si="9"/>
        <v>N/A</v>
      </c>
      <c r="CB23" s="79"/>
      <c r="CC23" s="79" t="str">
        <f t="shared" si="10"/>
        <v>N/A</v>
      </c>
      <c r="CD23" s="79"/>
      <c r="CE23" s="79" t="str">
        <f t="shared" si="11"/>
        <v>N/A</v>
      </c>
      <c r="CF23" s="79"/>
      <c r="CG23" s="79" t="str">
        <f t="shared" si="12"/>
        <v>N/A</v>
      </c>
      <c r="CH23" s="79"/>
      <c r="CI23" s="79" t="str">
        <f t="shared" si="13"/>
        <v>N/A</v>
      </c>
      <c r="CJ23" s="79"/>
      <c r="CK23" s="79" t="str">
        <f t="shared" si="14"/>
        <v>N/A</v>
      </c>
      <c r="CL23" s="79"/>
      <c r="CM23" s="79" t="str">
        <f t="shared" si="15"/>
        <v>N/A</v>
      </c>
      <c r="CN23" s="79"/>
      <c r="CO23" s="79" t="str">
        <f t="shared" si="16"/>
        <v>N/A</v>
      </c>
      <c r="CP23" s="79"/>
      <c r="CQ23" s="79" t="str">
        <f t="shared" si="17"/>
        <v>N/A</v>
      </c>
      <c r="CR23" s="79"/>
      <c r="CS23" s="79" t="str">
        <f t="shared" si="18"/>
        <v>N/A</v>
      </c>
      <c r="CT23" s="7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row>
    <row r="24" spans="1:137" s="397" customFormat="1" ht="15" customHeight="1" x14ac:dyDescent="0.2">
      <c r="A24" s="223"/>
      <c r="B24" s="381">
        <v>69</v>
      </c>
      <c r="C24" s="696">
        <v>16</v>
      </c>
      <c r="D24" s="382" t="s">
        <v>545</v>
      </c>
      <c r="E24" s="252" t="s">
        <v>57</v>
      </c>
      <c r="F24" s="550"/>
      <c r="G24" s="568"/>
      <c r="H24" s="550"/>
      <c r="I24" s="568"/>
      <c r="J24" s="550"/>
      <c r="K24" s="568"/>
      <c r="L24" s="550"/>
      <c r="M24" s="568"/>
      <c r="N24" s="550"/>
      <c r="O24" s="568"/>
      <c r="P24" s="550"/>
      <c r="Q24" s="568"/>
      <c r="R24" s="550"/>
      <c r="S24" s="568"/>
      <c r="T24" s="550"/>
      <c r="U24" s="568"/>
      <c r="V24" s="550"/>
      <c r="W24" s="568"/>
      <c r="X24" s="550"/>
      <c r="Y24" s="568"/>
      <c r="Z24" s="550"/>
      <c r="AA24" s="568"/>
      <c r="AB24" s="550"/>
      <c r="AC24" s="568"/>
      <c r="AD24" s="550"/>
      <c r="AE24" s="568"/>
      <c r="AF24" s="550"/>
      <c r="AG24" s="568"/>
      <c r="AH24" s="550"/>
      <c r="AI24" s="568"/>
      <c r="AJ24" s="550"/>
      <c r="AK24" s="568"/>
      <c r="AL24" s="550"/>
      <c r="AM24" s="568"/>
      <c r="AN24" s="550"/>
      <c r="AO24" s="568"/>
      <c r="AP24" s="550"/>
      <c r="AQ24" s="568"/>
      <c r="AR24" s="550"/>
      <c r="AS24" s="568"/>
      <c r="AT24" s="550"/>
      <c r="AU24" s="568"/>
      <c r="AV24" s="550"/>
      <c r="AW24" s="568"/>
      <c r="AY24" s="700"/>
      <c r="AZ24" s="583">
        <v>16</v>
      </c>
      <c r="BA24" s="307" t="s">
        <v>194</v>
      </c>
      <c r="BB24" s="81" t="s">
        <v>453</v>
      </c>
      <c r="BC24" s="79" t="s">
        <v>457</v>
      </c>
      <c r="BD24" s="258"/>
      <c r="BE24" s="79" t="str">
        <f t="shared" si="20"/>
        <v>N/A</v>
      </c>
      <c r="BF24" s="258"/>
      <c r="BG24" s="79" t="str">
        <f t="shared" si="19"/>
        <v>N/A</v>
      </c>
      <c r="BH24" s="79"/>
      <c r="BI24" s="79" t="str">
        <f t="shared" si="0"/>
        <v>N/A</v>
      </c>
      <c r="BJ24" s="79"/>
      <c r="BK24" s="79" t="str">
        <f t="shared" si="1"/>
        <v>N/A</v>
      </c>
      <c r="BL24" s="79"/>
      <c r="BM24" s="79" t="str">
        <f t="shared" si="2"/>
        <v>N/A</v>
      </c>
      <c r="BN24" s="79"/>
      <c r="BO24" s="79" t="str">
        <f t="shared" si="3"/>
        <v>N/A</v>
      </c>
      <c r="BP24" s="79"/>
      <c r="BQ24" s="79" t="str">
        <f t="shared" si="4"/>
        <v>N/A</v>
      </c>
      <c r="BR24" s="79"/>
      <c r="BS24" s="79" t="str">
        <f t="shared" si="5"/>
        <v>N/A</v>
      </c>
      <c r="BT24" s="79"/>
      <c r="BU24" s="79" t="str">
        <f t="shared" si="6"/>
        <v>N/A</v>
      </c>
      <c r="BV24" s="79"/>
      <c r="BW24" s="79" t="str">
        <f t="shared" si="7"/>
        <v>N/A</v>
      </c>
      <c r="BX24" s="79"/>
      <c r="BY24" s="79" t="str">
        <f t="shared" si="8"/>
        <v>N/A</v>
      </c>
      <c r="BZ24" s="79"/>
      <c r="CA24" s="79" t="str">
        <f t="shared" si="9"/>
        <v>N/A</v>
      </c>
      <c r="CB24" s="79"/>
      <c r="CC24" s="79" t="str">
        <f t="shared" si="10"/>
        <v>N/A</v>
      </c>
      <c r="CD24" s="79"/>
      <c r="CE24" s="79" t="str">
        <f t="shared" si="11"/>
        <v>N/A</v>
      </c>
      <c r="CF24" s="79"/>
      <c r="CG24" s="79" t="str">
        <f t="shared" si="12"/>
        <v>N/A</v>
      </c>
      <c r="CH24" s="79"/>
      <c r="CI24" s="79" t="str">
        <f t="shared" si="13"/>
        <v>N/A</v>
      </c>
      <c r="CJ24" s="79"/>
      <c r="CK24" s="79" t="str">
        <f t="shared" si="14"/>
        <v>N/A</v>
      </c>
      <c r="CL24" s="79"/>
      <c r="CM24" s="79" t="str">
        <f t="shared" si="15"/>
        <v>N/A</v>
      </c>
      <c r="CN24" s="79"/>
      <c r="CO24" s="79" t="str">
        <f t="shared" si="16"/>
        <v>N/A</v>
      </c>
      <c r="CP24" s="79"/>
      <c r="CQ24" s="79" t="str">
        <f t="shared" si="17"/>
        <v>N/A</v>
      </c>
      <c r="CR24" s="79"/>
      <c r="CS24" s="79" t="str">
        <f t="shared" si="18"/>
        <v>N/A</v>
      </c>
      <c r="CT24" s="7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row>
    <row r="25" spans="1:137" s="397" customFormat="1" ht="15" customHeight="1" x14ac:dyDescent="0.2">
      <c r="A25" s="223"/>
      <c r="B25" s="381">
        <v>78</v>
      </c>
      <c r="C25" s="696">
        <v>17</v>
      </c>
      <c r="D25" s="382" t="s">
        <v>547</v>
      </c>
      <c r="E25" s="252" t="s">
        <v>57</v>
      </c>
      <c r="F25" s="550"/>
      <c r="G25" s="568"/>
      <c r="H25" s="550"/>
      <c r="I25" s="568"/>
      <c r="J25" s="550"/>
      <c r="K25" s="568"/>
      <c r="L25" s="550"/>
      <c r="M25" s="568"/>
      <c r="N25" s="550"/>
      <c r="O25" s="568"/>
      <c r="P25" s="550"/>
      <c r="Q25" s="568"/>
      <c r="R25" s="550"/>
      <c r="S25" s="568"/>
      <c r="T25" s="550"/>
      <c r="U25" s="568"/>
      <c r="V25" s="550"/>
      <c r="W25" s="568"/>
      <c r="X25" s="550"/>
      <c r="Y25" s="568"/>
      <c r="Z25" s="550"/>
      <c r="AA25" s="568"/>
      <c r="AB25" s="550"/>
      <c r="AC25" s="568"/>
      <c r="AD25" s="550"/>
      <c r="AE25" s="568"/>
      <c r="AF25" s="550"/>
      <c r="AG25" s="568"/>
      <c r="AH25" s="550"/>
      <c r="AI25" s="568"/>
      <c r="AJ25" s="550"/>
      <c r="AK25" s="568"/>
      <c r="AL25" s="550"/>
      <c r="AM25" s="568"/>
      <c r="AN25" s="550"/>
      <c r="AO25" s="568"/>
      <c r="AP25" s="550"/>
      <c r="AQ25" s="568"/>
      <c r="AR25" s="550"/>
      <c r="AS25" s="568"/>
      <c r="AT25" s="550"/>
      <c r="AU25" s="568"/>
      <c r="AV25" s="550"/>
      <c r="AW25" s="568"/>
      <c r="AY25" s="700"/>
      <c r="AZ25" s="583">
        <v>17</v>
      </c>
      <c r="BA25" s="307" t="s">
        <v>372</v>
      </c>
      <c r="BB25" s="81" t="s">
        <v>453</v>
      </c>
      <c r="BC25" s="79" t="s">
        <v>457</v>
      </c>
      <c r="BD25" s="258"/>
      <c r="BE25" s="79" t="str">
        <f t="shared" si="20"/>
        <v>N/A</v>
      </c>
      <c r="BF25" s="258"/>
      <c r="BG25" s="79" t="str">
        <f t="shared" si="19"/>
        <v>N/A</v>
      </c>
      <c r="BH25" s="79"/>
      <c r="BI25" s="79" t="str">
        <f t="shared" si="0"/>
        <v>N/A</v>
      </c>
      <c r="BJ25" s="79"/>
      <c r="BK25" s="79" t="str">
        <f t="shared" si="1"/>
        <v>N/A</v>
      </c>
      <c r="BL25" s="79"/>
      <c r="BM25" s="79" t="str">
        <f t="shared" si="2"/>
        <v>N/A</v>
      </c>
      <c r="BN25" s="79"/>
      <c r="BO25" s="79" t="str">
        <f t="shared" si="3"/>
        <v>N/A</v>
      </c>
      <c r="BP25" s="79"/>
      <c r="BQ25" s="79" t="str">
        <f t="shared" si="4"/>
        <v>N/A</v>
      </c>
      <c r="BR25" s="79"/>
      <c r="BS25" s="79" t="str">
        <f t="shared" si="5"/>
        <v>N/A</v>
      </c>
      <c r="BT25" s="79"/>
      <c r="BU25" s="79" t="str">
        <f t="shared" si="6"/>
        <v>N/A</v>
      </c>
      <c r="BV25" s="79"/>
      <c r="BW25" s="79" t="str">
        <f t="shared" si="7"/>
        <v>N/A</v>
      </c>
      <c r="BX25" s="79"/>
      <c r="BY25" s="79" t="str">
        <f t="shared" si="8"/>
        <v>N/A</v>
      </c>
      <c r="BZ25" s="79"/>
      <c r="CA25" s="79" t="str">
        <f t="shared" si="9"/>
        <v>N/A</v>
      </c>
      <c r="CB25" s="79"/>
      <c r="CC25" s="79" t="str">
        <f t="shared" si="10"/>
        <v>N/A</v>
      </c>
      <c r="CD25" s="79"/>
      <c r="CE25" s="79" t="str">
        <f t="shared" si="11"/>
        <v>N/A</v>
      </c>
      <c r="CF25" s="79"/>
      <c r="CG25" s="79" t="str">
        <f t="shared" si="12"/>
        <v>N/A</v>
      </c>
      <c r="CH25" s="79"/>
      <c r="CI25" s="79" t="str">
        <f t="shared" si="13"/>
        <v>N/A</v>
      </c>
      <c r="CJ25" s="79"/>
      <c r="CK25" s="79" t="str">
        <f t="shared" si="14"/>
        <v>N/A</v>
      </c>
      <c r="CL25" s="79"/>
      <c r="CM25" s="79" t="str">
        <f t="shared" si="15"/>
        <v>N/A</v>
      </c>
      <c r="CN25" s="79"/>
      <c r="CO25" s="79" t="str">
        <f t="shared" si="16"/>
        <v>N/A</v>
      </c>
      <c r="CP25" s="79"/>
      <c r="CQ25" s="79" t="str">
        <f t="shared" si="17"/>
        <v>N/A</v>
      </c>
      <c r="CR25" s="79"/>
      <c r="CS25" s="79" t="str">
        <f t="shared" si="18"/>
        <v>N/A</v>
      </c>
      <c r="CT25" s="7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row>
    <row r="26" spans="1:137" s="397" customFormat="1" ht="15" customHeight="1" x14ac:dyDescent="0.2">
      <c r="A26" s="223"/>
      <c r="B26" s="381">
        <v>2434</v>
      </c>
      <c r="C26" s="696">
        <v>18</v>
      </c>
      <c r="D26" s="382" t="s">
        <v>1</v>
      </c>
      <c r="E26" s="252" t="s">
        <v>57</v>
      </c>
      <c r="F26" s="550"/>
      <c r="G26" s="568"/>
      <c r="H26" s="550"/>
      <c r="I26" s="568"/>
      <c r="J26" s="550"/>
      <c r="K26" s="568"/>
      <c r="L26" s="550"/>
      <c r="M26" s="568"/>
      <c r="N26" s="550"/>
      <c r="O26" s="568"/>
      <c r="P26" s="550"/>
      <c r="Q26" s="568"/>
      <c r="R26" s="550"/>
      <c r="S26" s="568"/>
      <c r="T26" s="550"/>
      <c r="U26" s="568"/>
      <c r="V26" s="550"/>
      <c r="W26" s="568"/>
      <c r="X26" s="550"/>
      <c r="Y26" s="568"/>
      <c r="Z26" s="550"/>
      <c r="AA26" s="568"/>
      <c r="AB26" s="550"/>
      <c r="AC26" s="568"/>
      <c r="AD26" s="550"/>
      <c r="AE26" s="568"/>
      <c r="AF26" s="550"/>
      <c r="AG26" s="568"/>
      <c r="AH26" s="550"/>
      <c r="AI26" s="568"/>
      <c r="AJ26" s="550"/>
      <c r="AK26" s="568"/>
      <c r="AL26" s="550"/>
      <c r="AM26" s="568"/>
      <c r="AN26" s="550"/>
      <c r="AO26" s="568"/>
      <c r="AP26" s="550"/>
      <c r="AQ26" s="568"/>
      <c r="AR26" s="550"/>
      <c r="AS26" s="568"/>
      <c r="AT26" s="550"/>
      <c r="AU26" s="568"/>
      <c r="AV26" s="550"/>
      <c r="AW26" s="568"/>
      <c r="AY26" s="700"/>
      <c r="AZ26" s="583">
        <v>18</v>
      </c>
      <c r="BA26" s="307" t="s">
        <v>371</v>
      </c>
      <c r="BB26" s="81" t="s">
        <v>453</v>
      </c>
      <c r="BC26" s="79" t="s">
        <v>457</v>
      </c>
      <c r="BD26" s="258"/>
      <c r="BE26" s="79" t="str">
        <f t="shared" si="20"/>
        <v>N/A</v>
      </c>
      <c r="BF26" s="258"/>
      <c r="BG26" s="79" t="str">
        <f t="shared" si="19"/>
        <v>N/A</v>
      </c>
      <c r="BH26" s="79"/>
      <c r="BI26" s="79" t="str">
        <f t="shared" si="0"/>
        <v>N/A</v>
      </c>
      <c r="BJ26" s="79"/>
      <c r="BK26" s="79" t="str">
        <f t="shared" si="1"/>
        <v>N/A</v>
      </c>
      <c r="BL26" s="79"/>
      <c r="BM26" s="79" t="str">
        <f t="shared" si="2"/>
        <v>N/A</v>
      </c>
      <c r="BN26" s="79"/>
      <c r="BO26" s="79" t="str">
        <f>IF(OR(ISBLANK(P26),ISBLANK(R28)),"N/A",IF(ABS((R28-P26)/P26)&gt;0.25,"&gt; 25%","ok"))</f>
        <v>N/A</v>
      </c>
      <c r="BP26" s="79"/>
      <c r="BQ26" s="79" t="str">
        <f>IF(OR(ISBLANK(R28),ISBLANK(T28)),"N/A",IF(ABS((T28-R28)/R28)&gt;0.25,"&gt; 25%","ok"))</f>
        <v>N/A</v>
      </c>
      <c r="BR26" s="79"/>
      <c r="BS26" s="79" t="str">
        <f>IF(OR(ISBLANK(T28),ISBLANK(V28)),"N/A",IF(ABS((V28-T28)/T28)&gt;0.25,"&gt; 25%","ok"))</f>
        <v>N/A</v>
      </c>
      <c r="BT26" s="79"/>
      <c r="BU26" s="79" t="str">
        <f>IF(OR(ISBLANK(V28),ISBLANK(X28)),"N/A",IF(ABS((X28-V28)/V28)&gt;0.25,"&gt; 25%","ok"))</f>
        <v>N/A</v>
      </c>
      <c r="BV26" s="79"/>
      <c r="BW26" s="79" t="str">
        <f>IF(OR(ISBLANK(X28),ISBLANK(Z28)),"N/A",IF(ABS((Z28-X28)/X28)&gt;0.25,"&gt; 25%","ok"))</f>
        <v>N/A</v>
      </c>
      <c r="BX26" s="79"/>
      <c r="BY26" s="79" t="str">
        <f>IF(OR(ISBLANK(Z28),ISBLANK(AB28)),"N/A",IF(ABS((AB28-Z28)/Z28)&gt;0.25,"&gt; 25%","ok"))</f>
        <v>N/A</v>
      </c>
      <c r="BZ26" s="79"/>
      <c r="CA26" s="79" t="str">
        <f>IF(OR(ISBLANK(AB28),ISBLANK(AD28)),"N/A",IF(ABS((AD28-AB28)/AB28)&gt;0.25,"&gt; 25%","ok"))</f>
        <v>ok</v>
      </c>
      <c r="CB26" s="79"/>
      <c r="CC26" s="79" t="str">
        <f>IF(OR(ISBLANK(AD28),ISBLANK(AF28)),"N/A",IF(ABS((AF28-AD28)/AD28)&gt;0.25,"&gt; 25%","ok"))</f>
        <v>ok</v>
      </c>
      <c r="CD26" s="79"/>
      <c r="CE26" s="79" t="str">
        <f>IF(OR(ISBLANK(AF28),ISBLANK(AH28)),"N/A",IF(ABS((AH28-AF28)/AF28)&gt;0.25,"&gt; 25%","ok"))</f>
        <v>ok</v>
      </c>
      <c r="CF26" s="79"/>
      <c r="CG26" s="79" t="str">
        <f>IF(OR(ISBLANK(AH28),ISBLANK(AJ28)),"N/A",IF(ABS((AJ28-AH28)/AH28)&gt;0.25,"&gt; 25%","ok"))</f>
        <v>ok</v>
      </c>
      <c r="CH26" s="79"/>
      <c r="CI26" s="79" t="str">
        <f>IF(OR(ISBLANK(AJ28),ISBLANK(AL26)),"N/A",IF(ABS((AL26-AJ28)/AJ28)&gt;0.25,"&gt; 25%","ok"))</f>
        <v>N/A</v>
      </c>
      <c r="CJ26" s="79"/>
      <c r="CK26" s="79" t="str">
        <f t="shared" si="14"/>
        <v>N/A</v>
      </c>
      <c r="CL26" s="79"/>
      <c r="CM26" s="79" t="str">
        <f t="shared" si="15"/>
        <v>N/A</v>
      </c>
      <c r="CN26" s="79"/>
      <c r="CO26" s="79" t="str">
        <f t="shared" si="16"/>
        <v>N/A</v>
      </c>
      <c r="CP26" s="79"/>
      <c r="CQ26" s="79" t="str">
        <f t="shared" si="17"/>
        <v>N/A</v>
      </c>
      <c r="CR26" s="79"/>
      <c r="CS26" s="79" t="str">
        <f t="shared" si="18"/>
        <v>N/A</v>
      </c>
      <c r="CT26" s="7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row>
    <row r="27" spans="1:137" s="397" customFormat="1" ht="15" customHeight="1" x14ac:dyDescent="0.2">
      <c r="A27" s="223"/>
      <c r="B27" s="381">
        <v>2435</v>
      </c>
      <c r="C27" s="696">
        <v>19</v>
      </c>
      <c r="D27" s="382" t="s">
        <v>3</v>
      </c>
      <c r="E27" s="252" t="s">
        <v>57</v>
      </c>
      <c r="F27" s="550"/>
      <c r="G27" s="568"/>
      <c r="H27" s="550"/>
      <c r="I27" s="568"/>
      <c r="J27" s="550"/>
      <c r="K27" s="568"/>
      <c r="L27" s="550"/>
      <c r="M27" s="568"/>
      <c r="N27" s="550"/>
      <c r="O27" s="568"/>
      <c r="P27" s="550"/>
      <c r="Q27" s="568"/>
      <c r="R27" s="550"/>
      <c r="S27" s="568"/>
      <c r="T27" s="550"/>
      <c r="U27" s="568"/>
      <c r="V27" s="550"/>
      <c r="W27" s="568"/>
      <c r="X27" s="550"/>
      <c r="Y27" s="568"/>
      <c r="Z27" s="550"/>
      <c r="AA27" s="568"/>
      <c r="AB27" s="550"/>
      <c r="AC27" s="568"/>
      <c r="AD27" s="550"/>
      <c r="AE27" s="568"/>
      <c r="AF27" s="550"/>
      <c r="AG27" s="568"/>
      <c r="AH27" s="550"/>
      <c r="AI27" s="568"/>
      <c r="AJ27" s="550"/>
      <c r="AK27" s="568"/>
      <c r="AL27" s="550"/>
      <c r="AM27" s="568"/>
      <c r="AN27" s="550"/>
      <c r="AO27" s="568"/>
      <c r="AP27" s="550"/>
      <c r="AQ27" s="568"/>
      <c r="AR27" s="550"/>
      <c r="AS27" s="568"/>
      <c r="AT27" s="550"/>
      <c r="AU27" s="568"/>
      <c r="AV27" s="550"/>
      <c r="AW27" s="568"/>
      <c r="AY27" s="700"/>
      <c r="AZ27" s="583">
        <v>19</v>
      </c>
      <c r="BA27" s="307" t="s">
        <v>459</v>
      </c>
      <c r="BB27" s="81" t="s">
        <v>453</v>
      </c>
      <c r="BC27" s="79" t="s">
        <v>457</v>
      </c>
      <c r="BD27" s="258"/>
      <c r="BE27" s="79" t="str">
        <f t="shared" si="20"/>
        <v>N/A</v>
      </c>
      <c r="BF27" s="258"/>
      <c r="BG27" s="79" t="str">
        <f t="shared" si="19"/>
        <v>N/A</v>
      </c>
      <c r="BH27" s="79"/>
      <c r="BI27" s="79" t="str">
        <f t="shared" si="0"/>
        <v>N/A</v>
      </c>
      <c r="BJ27" s="79"/>
      <c r="BK27" s="79" t="str">
        <f t="shared" si="1"/>
        <v>N/A</v>
      </c>
      <c r="BL27" s="79"/>
      <c r="BM27" s="79" t="str">
        <f t="shared" si="2"/>
        <v>N/A</v>
      </c>
      <c r="BN27" s="79"/>
      <c r="BO27" s="79" t="str">
        <f>IF(OR(ISBLANK(P27),ISBLANK(R29)),"N/A",IF(ABS((R29-P27)/P27)&gt;0.25,"&gt; 25%","ok"))</f>
        <v>N/A</v>
      </c>
      <c r="BP27" s="79"/>
      <c r="BQ27" s="79" t="str">
        <f>IF(OR(ISBLANK(R29),ISBLANK(T29)),"N/A",IF(ABS((T29-R29)/R29)&gt;0.25,"&gt; 25%","ok"))</f>
        <v>N/A</v>
      </c>
      <c r="BR27" s="79"/>
      <c r="BS27" s="79" t="str">
        <f>IF(OR(ISBLANK(T29),ISBLANK(V29)),"N/A",IF(ABS((V29-T29)/T29)&gt;0.25,"&gt; 25%","ok"))</f>
        <v>N/A</v>
      </c>
      <c r="BT27" s="79"/>
      <c r="BU27" s="79" t="str">
        <f>IF(OR(ISBLANK(V29),ISBLANK(X29)),"N/A",IF(ABS((X29-V29)/V29)&gt;0.25,"&gt; 25%","ok"))</f>
        <v>N/A</v>
      </c>
      <c r="BV27" s="79"/>
      <c r="BW27" s="79" t="str">
        <f>IF(OR(ISBLANK(X29),ISBLANK(Z29)),"N/A",IF(ABS((Z29-X29)/X29)&gt;0.25,"&gt; 25%","ok"))</f>
        <v>N/A</v>
      </c>
      <c r="BX27" s="79"/>
      <c r="BY27" s="79" t="str">
        <f>IF(OR(ISBLANK(Z29),ISBLANK(AB29)),"N/A",IF(ABS((AB29-Z29)/Z29)&gt;0.25,"&gt; 25%","ok"))</f>
        <v>N/A</v>
      </c>
      <c r="BZ27" s="79"/>
      <c r="CA27" s="79" t="str">
        <f>IF(OR(ISBLANK(AB29),ISBLANK(AD29)),"N/A",IF(ABS((AD29-AB29)/AB29)&gt;0.25,"&gt; 25%","ok"))</f>
        <v>ok</v>
      </c>
      <c r="CB27" s="79"/>
      <c r="CC27" s="79" t="str">
        <f>IF(OR(ISBLANK(AD29),ISBLANK(AF29)),"N/A",IF(ABS((AF29-AD29)/AD29)&gt;0.25,"&gt; 25%","ok"))</f>
        <v>ok</v>
      </c>
      <c r="CD27" s="79"/>
      <c r="CE27" s="79" t="str">
        <f>IF(OR(ISBLANK(AF29),ISBLANK(AH29)),"N/A",IF(ABS((AH29-AF29)/AF29)&gt;0.25,"&gt; 25%","ok"))</f>
        <v>ok</v>
      </c>
      <c r="CF27" s="79"/>
      <c r="CG27" s="79" t="str">
        <f>IF(OR(ISBLANK(AH29),ISBLANK(AJ29)),"N/A",IF(ABS((AJ29-AH29)/AH29)&gt;0.25,"&gt; 25%","ok"))</f>
        <v>ok</v>
      </c>
      <c r="CH27" s="79"/>
      <c r="CI27" s="79" t="str">
        <f>IF(OR(ISBLANK(AJ29),ISBLANK(AL27)),"N/A",IF(ABS((AL27-AJ29)/AJ29)&gt;0.25,"&gt; 25%","ok"))</f>
        <v>N/A</v>
      </c>
      <c r="CJ27" s="79"/>
      <c r="CK27" s="79" t="str">
        <f t="shared" si="14"/>
        <v>N/A</v>
      </c>
      <c r="CL27" s="79"/>
      <c r="CM27" s="79" t="str">
        <f t="shared" si="15"/>
        <v>N/A</v>
      </c>
      <c r="CN27" s="79"/>
      <c r="CO27" s="79" t="str">
        <f t="shared" si="16"/>
        <v>N/A</v>
      </c>
      <c r="CP27" s="79"/>
      <c r="CQ27" s="79" t="str">
        <f t="shared" si="17"/>
        <v>N/A</v>
      </c>
      <c r="CR27" s="79"/>
      <c r="CS27" s="79" t="str">
        <f t="shared" si="18"/>
        <v>N/A</v>
      </c>
      <c r="CT27" s="7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row>
    <row r="28" spans="1:137" s="402" customFormat="1" ht="27" customHeight="1" x14ac:dyDescent="0.2">
      <c r="A28" s="401" t="s">
        <v>448</v>
      </c>
      <c r="B28" s="388">
        <v>79</v>
      </c>
      <c r="C28" s="698">
        <v>20</v>
      </c>
      <c r="D28" s="390" t="s">
        <v>691</v>
      </c>
      <c r="E28" s="252" t="s">
        <v>57</v>
      </c>
      <c r="F28" s="550"/>
      <c r="G28" s="568"/>
      <c r="H28" s="550"/>
      <c r="I28" s="568"/>
      <c r="J28" s="550"/>
      <c r="K28" s="568"/>
      <c r="L28" s="550"/>
      <c r="M28" s="568"/>
      <c r="N28" s="550"/>
      <c r="O28" s="568"/>
      <c r="P28" s="550"/>
      <c r="Q28" s="568"/>
      <c r="R28" s="550"/>
      <c r="S28" s="568"/>
      <c r="T28" s="550"/>
      <c r="U28" s="568"/>
      <c r="V28" s="550"/>
      <c r="W28" s="568"/>
      <c r="X28" s="550"/>
      <c r="Y28" s="568"/>
      <c r="Z28" s="550"/>
      <c r="AA28" s="568"/>
      <c r="AB28" s="550">
        <v>373724.125</v>
      </c>
      <c r="AC28" s="568"/>
      <c r="AD28" s="550">
        <v>364708.90625</v>
      </c>
      <c r="AE28" s="568"/>
      <c r="AF28" s="550">
        <v>366061.09375</v>
      </c>
      <c r="AG28" s="568"/>
      <c r="AH28" s="550">
        <v>364655.1875</v>
      </c>
      <c r="AI28" s="568"/>
      <c r="AJ28" s="550">
        <v>362964</v>
      </c>
      <c r="AK28" s="568"/>
      <c r="AL28" s="550"/>
      <c r="AM28" s="568"/>
      <c r="AN28" s="550"/>
      <c r="AO28" s="568"/>
      <c r="AP28" s="550"/>
      <c r="AQ28" s="568"/>
      <c r="AR28" s="550"/>
      <c r="AS28" s="568"/>
      <c r="AT28" s="550"/>
      <c r="AU28" s="568"/>
      <c r="AV28" s="550"/>
      <c r="AW28" s="568"/>
      <c r="AY28" s="403"/>
      <c r="AZ28" s="612">
        <v>20</v>
      </c>
      <c r="BA28" s="394" t="s">
        <v>674</v>
      </c>
      <c r="BB28" s="81" t="s">
        <v>453</v>
      </c>
      <c r="BC28" s="79" t="s">
        <v>457</v>
      </c>
      <c r="BD28" s="395"/>
      <c r="BE28" s="79" t="str">
        <f t="shared" si="20"/>
        <v>N/A</v>
      </c>
      <c r="BF28" s="395"/>
      <c r="BG28" s="79" t="str">
        <f t="shared" si="19"/>
        <v>N/A</v>
      </c>
      <c r="BH28" s="79"/>
      <c r="BI28" s="79" t="str">
        <f t="shared" si="0"/>
        <v>N/A</v>
      </c>
      <c r="BJ28" s="79"/>
      <c r="BK28" s="79" t="str">
        <f t="shared" si="1"/>
        <v>N/A</v>
      </c>
      <c r="BL28" s="79"/>
      <c r="BM28" s="79" t="str">
        <f t="shared" si="2"/>
        <v>N/A</v>
      </c>
      <c r="BN28" s="79"/>
      <c r="BO28" s="79" t="str">
        <f>IF(OR(ISBLANK(P28),ISBLANK(R30)),"N/A",IF(ABS((R30-P28)/P28)&gt;0.25,"&gt; 25%","ok"))</f>
        <v>N/A</v>
      </c>
      <c r="BP28" s="79"/>
      <c r="BQ28" s="79" t="str">
        <f>IF(OR(ISBLANK(R30),ISBLANK(T30)),"N/A",IF(ABS((T30-R30)/R30)&gt;0.25,"&gt; 25%","ok"))</f>
        <v>ok</v>
      </c>
      <c r="BR28" s="79"/>
      <c r="BS28" s="79" t="str">
        <f>IF(OR(ISBLANK(T30),ISBLANK(V30)),"N/A",IF(ABS((V30-T30)/T30)&gt;0.25,"&gt; 25%","ok"))</f>
        <v>ok</v>
      </c>
      <c r="BT28" s="79"/>
      <c r="BU28" s="79" t="str">
        <f>IF(OR(ISBLANK(V30),ISBLANK(X30)),"N/A",IF(ABS((X30-V30)/V30)&gt;0.25,"&gt; 25%","ok"))</f>
        <v>ok</v>
      </c>
      <c r="BV28" s="79"/>
      <c r="BW28" s="79" t="str">
        <f>IF(OR(ISBLANK(X30),ISBLANK(Z30)),"N/A",IF(ABS((Z30-X30)/X30)&gt;0.25,"&gt; 25%","ok"))</f>
        <v>ok</v>
      </c>
      <c r="BX28" s="79"/>
      <c r="BY28" s="79" t="str">
        <f>IF(OR(ISBLANK(Z30),ISBLANK(AB30)),"N/A",IF(ABS((AB30-Z30)/Z30)&gt;0.25,"&gt; 25%","ok"))</f>
        <v>ok</v>
      </c>
      <c r="BZ28" s="79"/>
      <c r="CA28" s="79" t="str">
        <f>IF(OR(ISBLANK(AB30),ISBLANK(AD30)),"N/A",IF(ABS((AD30-AB30)/AB30)&gt;0.25,"&gt; 25%","ok"))</f>
        <v>ok</v>
      </c>
      <c r="CB28" s="79"/>
      <c r="CC28" s="79" t="str">
        <f>IF(OR(ISBLANK(AD30),ISBLANK(AF30)),"N/A",IF(ABS((AF30-AD30)/AD30)&gt;0.25,"&gt; 25%","ok"))</f>
        <v>ok</v>
      </c>
      <c r="CD28" s="79"/>
      <c r="CE28" s="79" t="str">
        <f>IF(OR(ISBLANK(AF30),ISBLANK(AH30)),"N/A",IF(ABS((AH30-AF30)/AF30)&gt;0.25,"&gt; 25%","ok"))</f>
        <v>ok</v>
      </c>
      <c r="CF28" s="79"/>
      <c r="CG28" s="79" t="str">
        <f>IF(OR(ISBLANK(AH30),ISBLANK(AJ30)),"N/A",IF(ABS((AJ30-AH30)/AH30)&gt;0.25,"&gt; 25%","ok"))</f>
        <v>ok</v>
      </c>
      <c r="CH28" s="79"/>
      <c r="CI28" s="79" t="str">
        <f>IF(OR(ISBLANK(AJ30),ISBLANK(AL28)),"N/A",IF(ABS((AL28-AJ30)/AJ30)&gt;0.25,"&gt; 25%","ok"))</f>
        <v>N/A</v>
      </c>
      <c r="CJ28" s="79"/>
      <c r="CK28" s="79" t="str">
        <f t="shared" si="14"/>
        <v>N/A</v>
      </c>
      <c r="CL28" s="79"/>
      <c r="CM28" s="79" t="str">
        <f t="shared" si="15"/>
        <v>N/A</v>
      </c>
      <c r="CN28" s="79"/>
      <c r="CO28" s="79" t="str">
        <f t="shared" si="16"/>
        <v>N/A</v>
      </c>
      <c r="CP28" s="79"/>
      <c r="CQ28" s="79" t="str">
        <f t="shared" si="17"/>
        <v>N/A</v>
      </c>
      <c r="CR28" s="79"/>
      <c r="CS28" s="79" t="str">
        <f t="shared" si="18"/>
        <v>N/A</v>
      </c>
      <c r="CT28" s="105"/>
      <c r="CU28" s="404"/>
      <c r="CV28" s="404"/>
      <c r="CW28" s="404"/>
      <c r="CX28" s="404"/>
      <c r="CY28" s="404"/>
      <c r="CZ28" s="404"/>
      <c r="DA28" s="404"/>
      <c r="DB28" s="404"/>
      <c r="DC28" s="404"/>
      <c r="DD28" s="404"/>
      <c r="DE28" s="404"/>
      <c r="DF28" s="404"/>
      <c r="DG28" s="404"/>
      <c r="DH28" s="404"/>
      <c r="DI28" s="404"/>
      <c r="DJ28" s="404"/>
      <c r="DK28" s="404"/>
      <c r="DL28" s="404"/>
      <c r="DM28" s="404"/>
      <c r="DN28" s="404"/>
      <c r="DO28" s="404"/>
      <c r="DP28" s="404"/>
      <c r="DQ28" s="404"/>
      <c r="DR28" s="404"/>
      <c r="DS28" s="404"/>
      <c r="DT28" s="404"/>
      <c r="DU28" s="404"/>
      <c r="DV28" s="404"/>
      <c r="DW28" s="404"/>
      <c r="DX28" s="404"/>
      <c r="DY28" s="404"/>
      <c r="DZ28" s="404"/>
      <c r="EA28" s="404"/>
      <c r="EB28" s="404"/>
      <c r="EC28" s="404"/>
      <c r="ED28" s="404"/>
      <c r="EE28" s="404"/>
      <c r="EF28" s="404"/>
      <c r="EG28" s="404"/>
    </row>
    <row r="29" spans="1:137" s="402" customFormat="1" ht="15" customHeight="1" x14ac:dyDescent="0.2">
      <c r="A29" s="405"/>
      <c r="B29" s="388">
        <v>34</v>
      </c>
      <c r="C29" s="696">
        <v>21</v>
      </c>
      <c r="D29" s="390" t="s">
        <v>5</v>
      </c>
      <c r="E29" s="252" t="s">
        <v>57</v>
      </c>
      <c r="F29" s="550"/>
      <c r="G29" s="568"/>
      <c r="H29" s="550"/>
      <c r="I29" s="568"/>
      <c r="J29" s="550"/>
      <c r="K29" s="568"/>
      <c r="L29" s="550"/>
      <c r="M29" s="568"/>
      <c r="N29" s="550"/>
      <c r="O29" s="568"/>
      <c r="P29" s="550"/>
      <c r="Q29" s="568"/>
      <c r="R29" s="550"/>
      <c r="S29" s="568"/>
      <c r="T29" s="550"/>
      <c r="U29" s="568"/>
      <c r="V29" s="550"/>
      <c r="W29" s="568"/>
      <c r="X29" s="550"/>
      <c r="Y29" s="568"/>
      <c r="Z29" s="550"/>
      <c r="AA29" s="568"/>
      <c r="AB29" s="550">
        <v>134422.515625</v>
      </c>
      <c r="AC29" s="568"/>
      <c r="AD29" s="550">
        <v>138112.703125</v>
      </c>
      <c r="AE29" s="568"/>
      <c r="AF29" s="550">
        <v>146581.203125</v>
      </c>
      <c r="AG29" s="568"/>
      <c r="AH29" s="550">
        <v>147152.203125</v>
      </c>
      <c r="AI29" s="568"/>
      <c r="AJ29" s="550">
        <v>140598.203125</v>
      </c>
      <c r="AK29" s="568"/>
      <c r="AL29" s="550"/>
      <c r="AM29" s="568"/>
      <c r="AN29" s="550"/>
      <c r="AO29" s="568"/>
      <c r="AP29" s="550"/>
      <c r="AQ29" s="568"/>
      <c r="AR29" s="550"/>
      <c r="AS29" s="568"/>
      <c r="AT29" s="550"/>
      <c r="AU29" s="568"/>
      <c r="AV29" s="550"/>
      <c r="AW29" s="568"/>
      <c r="AY29" s="403"/>
      <c r="AZ29" s="612">
        <v>21</v>
      </c>
      <c r="BA29" s="394" t="s">
        <v>380</v>
      </c>
      <c r="BB29" s="81" t="s">
        <v>453</v>
      </c>
      <c r="BC29" s="79" t="s">
        <v>457</v>
      </c>
      <c r="BD29" s="395"/>
      <c r="BE29" s="79" t="str">
        <f t="shared" si="20"/>
        <v>N/A</v>
      </c>
      <c r="BF29" s="395"/>
      <c r="BG29" s="79" t="str">
        <f t="shared" si="19"/>
        <v>N/A</v>
      </c>
      <c r="BH29" s="79"/>
      <c r="BI29" s="79" t="str">
        <f t="shared" si="0"/>
        <v>N/A</v>
      </c>
      <c r="BJ29" s="79"/>
      <c r="BK29" s="79" t="str">
        <f t="shared" si="1"/>
        <v>N/A</v>
      </c>
      <c r="BL29" s="79"/>
      <c r="BM29" s="79" t="str">
        <f t="shared" si="2"/>
        <v>N/A</v>
      </c>
      <c r="BN29" s="79"/>
      <c r="BO29" s="79" t="str">
        <f>IF(OR(ISBLANK(P29),ISBLANK(R31)),"N/A",IF(ABS((R31-P29)/P29)&gt;0.25,"&gt; 25%","ok"))</f>
        <v>N/A</v>
      </c>
      <c r="BP29" s="79"/>
      <c r="BQ29" s="79" t="str">
        <f>IF(OR(ISBLANK(R31),ISBLANK(T31)),"N/A",IF(ABS((T31-R31)/R31)&gt;0.25,"&gt; 25%","ok"))</f>
        <v>N/A</v>
      </c>
      <c r="BR29" s="79"/>
      <c r="BS29" s="79" t="str">
        <f>IF(OR(ISBLANK(T31),ISBLANK(V31)),"N/A",IF(ABS((V31-T31)/T31)&gt;0.25,"&gt; 25%","ok"))</f>
        <v>N/A</v>
      </c>
      <c r="BT29" s="79"/>
      <c r="BU29" s="79" t="str">
        <f>IF(OR(ISBLANK(V31),ISBLANK(X31)),"N/A",IF(ABS((X31-V31)/V31)&gt;0.25,"&gt; 25%","ok"))</f>
        <v>N/A</v>
      </c>
      <c r="BV29" s="79"/>
      <c r="BW29" s="79" t="str">
        <f>IF(OR(ISBLANK(X31),ISBLANK(Z31)),"N/A",IF(ABS((Z31-X31)/X31)&gt;0.25,"&gt; 25%","ok"))</f>
        <v>N/A</v>
      </c>
      <c r="BX29" s="79"/>
      <c r="BY29" s="79" t="str">
        <f>IF(OR(ISBLANK(Z31),ISBLANK(AB31)),"N/A",IF(ABS((AB31-Z31)/Z31)&gt;0.25,"&gt; 25%","ok"))</f>
        <v>N/A</v>
      </c>
      <c r="BZ29" s="79"/>
      <c r="CA29" s="79" t="str">
        <f>IF(OR(ISBLANK(AB31),ISBLANK(AD31)),"N/A",IF(ABS((AD31-AB31)/AB31)&gt;0.25,"&gt; 25%","ok"))</f>
        <v>N/A</v>
      </c>
      <c r="CB29" s="79"/>
      <c r="CC29" s="79" t="str">
        <f>IF(OR(ISBLANK(AD31),ISBLANK(AF31)),"N/A",IF(ABS((AF31-AD31)/AD31)&gt;0.25,"&gt; 25%","ok"))</f>
        <v>N/A</v>
      </c>
      <c r="CD29" s="79"/>
      <c r="CE29" s="79" t="str">
        <f>IF(OR(ISBLANK(AF31),ISBLANK(AH31)),"N/A",IF(ABS((AH31-AF31)/AF31)&gt;0.25,"&gt; 25%","ok"))</f>
        <v>N/A</v>
      </c>
      <c r="CF29" s="79"/>
      <c r="CG29" s="79" t="str">
        <f>IF(OR(ISBLANK(AH31),ISBLANK(AJ31)),"N/A",IF(ABS((AJ31-AH31)/AH31)&gt;0.25,"&gt; 25%","ok"))</f>
        <v>N/A</v>
      </c>
      <c r="CH29" s="79"/>
      <c r="CI29" s="79" t="str">
        <f>IF(OR(ISBLANK(AJ31),ISBLANK(AL29)),"N/A",IF(ABS((AL29-AJ31)/AJ31)&gt;0.25,"&gt; 25%","ok"))</f>
        <v>N/A</v>
      </c>
      <c r="CJ29" s="79"/>
      <c r="CK29" s="79" t="str">
        <f t="shared" si="14"/>
        <v>N/A</v>
      </c>
      <c r="CL29" s="79"/>
      <c r="CM29" s="79" t="str">
        <f t="shared" si="15"/>
        <v>N/A</v>
      </c>
      <c r="CN29" s="79"/>
      <c r="CO29" s="79" t="str">
        <f t="shared" si="16"/>
        <v>N/A</v>
      </c>
      <c r="CP29" s="79"/>
      <c r="CQ29" s="79" t="str">
        <f t="shared" si="17"/>
        <v>N/A</v>
      </c>
      <c r="CR29" s="79"/>
      <c r="CS29" s="79" t="str">
        <f t="shared" si="18"/>
        <v>N/A</v>
      </c>
      <c r="CT29" s="105"/>
      <c r="CU29" s="404"/>
      <c r="CV29" s="404"/>
      <c r="CW29" s="404"/>
      <c r="CX29" s="404"/>
      <c r="CY29" s="404"/>
      <c r="CZ29" s="404"/>
      <c r="DA29" s="404"/>
      <c r="DB29" s="404"/>
      <c r="DC29" s="404"/>
      <c r="DD29" s="404"/>
      <c r="DE29" s="404"/>
      <c r="DF29" s="404"/>
      <c r="DG29" s="404"/>
      <c r="DH29" s="404"/>
      <c r="DI29" s="404"/>
      <c r="DJ29" s="404"/>
      <c r="DK29" s="404"/>
      <c r="DL29" s="404"/>
      <c r="DM29" s="404"/>
      <c r="DN29" s="404"/>
      <c r="DO29" s="404"/>
      <c r="DP29" s="404"/>
      <c r="DQ29" s="404"/>
      <c r="DR29" s="404"/>
      <c r="DS29" s="404"/>
      <c r="DT29" s="404"/>
      <c r="DU29" s="404"/>
      <c r="DV29" s="404"/>
      <c r="DW29" s="404"/>
      <c r="DX29" s="404"/>
      <c r="DY29" s="404"/>
      <c r="DZ29" s="404"/>
      <c r="EA29" s="404"/>
      <c r="EB29" s="404"/>
      <c r="EC29" s="404"/>
      <c r="ED29" s="404"/>
      <c r="EE29" s="404"/>
      <c r="EF29" s="404"/>
      <c r="EG29" s="404"/>
    </row>
    <row r="30" spans="1:137" s="402" customFormat="1" ht="15" customHeight="1" x14ac:dyDescent="0.2">
      <c r="A30" s="405" t="s">
        <v>448</v>
      </c>
      <c r="B30" s="388">
        <v>35</v>
      </c>
      <c r="C30" s="698">
        <v>22</v>
      </c>
      <c r="D30" s="390" t="s">
        <v>692</v>
      </c>
      <c r="E30" s="252" t="s">
        <v>57</v>
      </c>
      <c r="F30" s="550"/>
      <c r="G30" s="568"/>
      <c r="H30" s="550"/>
      <c r="I30" s="568"/>
      <c r="J30" s="550"/>
      <c r="K30" s="568"/>
      <c r="L30" s="550"/>
      <c r="M30" s="568"/>
      <c r="N30" s="550"/>
      <c r="O30" s="568"/>
      <c r="P30" s="550"/>
      <c r="Q30" s="568"/>
      <c r="R30" s="550">
        <v>246563.203125</v>
      </c>
      <c r="S30" s="568"/>
      <c r="T30" s="550">
        <v>244954</v>
      </c>
      <c r="U30" s="568"/>
      <c r="V30" s="550">
        <v>251100.203125</v>
      </c>
      <c r="W30" s="568"/>
      <c r="X30" s="550">
        <v>262588.59375</v>
      </c>
      <c r="Y30" s="568"/>
      <c r="Z30" s="550">
        <v>241815</v>
      </c>
      <c r="AA30" s="568"/>
      <c r="AB30" s="550">
        <v>239301.59375</v>
      </c>
      <c r="AC30" s="568"/>
      <c r="AD30" s="550">
        <v>226596.203125</v>
      </c>
      <c r="AE30" s="568"/>
      <c r="AF30" s="550">
        <v>219479.90625</v>
      </c>
      <c r="AG30" s="568"/>
      <c r="AH30" s="550">
        <v>217503</v>
      </c>
      <c r="AI30" s="568"/>
      <c r="AJ30" s="550">
        <v>222365.796875</v>
      </c>
      <c r="AK30" s="568"/>
      <c r="AL30" s="550"/>
      <c r="AM30" s="568"/>
      <c r="AN30" s="550"/>
      <c r="AO30" s="568"/>
      <c r="AP30" s="550"/>
      <c r="AQ30" s="568"/>
      <c r="AR30" s="550"/>
      <c r="AS30" s="568"/>
      <c r="AT30" s="550"/>
      <c r="AU30" s="568"/>
      <c r="AV30" s="550"/>
      <c r="AW30" s="568"/>
      <c r="AY30" s="403"/>
      <c r="AZ30" s="612">
        <v>22</v>
      </c>
      <c r="BA30" s="394" t="s">
        <v>679</v>
      </c>
      <c r="BB30" s="81" t="s">
        <v>453</v>
      </c>
      <c r="BC30" s="105" t="s">
        <v>457</v>
      </c>
      <c r="BD30" s="395"/>
      <c r="BE30" s="79" t="str">
        <f t="shared" si="20"/>
        <v>N/A</v>
      </c>
      <c r="BF30" s="395"/>
      <c r="BG30" s="79" t="str">
        <f t="shared" si="19"/>
        <v>N/A</v>
      </c>
      <c r="BH30" s="79"/>
      <c r="BI30" s="79" t="str">
        <f t="shared" si="0"/>
        <v>N/A</v>
      </c>
      <c r="BJ30" s="79"/>
      <c r="BK30" s="79" t="str">
        <f t="shared" si="1"/>
        <v>N/A</v>
      </c>
      <c r="BL30" s="79"/>
      <c r="BM30" s="79" t="str">
        <f t="shared" si="2"/>
        <v>N/A</v>
      </c>
      <c r="BN30" s="79"/>
      <c r="BO30" s="79" t="str">
        <f>IF(OR(ISBLANK(P30),ISBLANK(R32)),"N/A",IF(ABS((R32-P30)/P30)&gt;0.25,"&gt; 25%","ok"))</f>
        <v>N/A</v>
      </c>
      <c r="BP30" s="79"/>
      <c r="BQ30" s="79" t="str">
        <f>IF(OR(ISBLANK(R32),ISBLANK(T32)),"N/A",IF(ABS((T32-R32)/R32)&gt;0.25,"&gt; 25%","ok"))</f>
        <v>ok</v>
      </c>
      <c r="BR30" s="79"/>
      <c r="BS30" s="79" t="str">
        <f>IF(OR(ISBLANK(T32),ISBLANK(V32)),"N/A",IF(ABS((V32-T32)/T32)&gt;0.25,"&gt; 25%","ok"))</f>
        <v>ok</v>
      </c>
      <c r="BT30" s="79"/>
      <c r="BU30" s="79" t="str">
        <f>IF(OR(ISBLANK(V32),ISBLANK(X32)),"N/A",IF(ABS((X32-V32)/V32)&gt;0.25,"&gt; 25%","ok"))</f>
        <v>ok</v>
      </c>
      <c r="BV30" s="79"/>
      <c r="BW30" s="79" t="str">
        <f>IF(OR(ISBLANK(X32),ISBLANK(Z32)),"N/A",IF(ABS((Z32-X32)/X32)&gt;0.25,"&gt; 25%","ok"))</f>
        <v>ok</v>
      </c>
      <c r="BX30" s="79"/>
      <c r="BY30" s="79" t="str">
        <f>IF(OR(ISBLANK(Z32),ISBLANK(AB32)),"N/A",IF(ABS((AB32-Z32)/Z32)&gt;0.25,"&gt; 25%","ok"))</f>
        <v>ok</v>
      </c>
      <c r="BZ30" s="79"/>
      <c r="CA30" s="79" t="str">
        <f>IF(OR(ISBLANK(AB32),ISBLANK(AD32)),"N/A",IF(ABS((AD32-AB32)/AB32)&gt;0.25,"&gt; 25%","ok"))</f>
        <v>ok</v>
      </c>
      <c r="CB30" s="79"/>
      <c r="CC30" s="79" t="str">
        <f>IF(OR(ISBLANK(AD32),ISBLANK(AF32)),"N/A",IF(ABS((AF32-AD32)/AD32)&gt;0.25,"&gt; 25%","ok"))</f>
        <v>ok</v>
      </c>
      <c r="CD30" s="79"/>
      <c r="CE30" s="79" t="str">
        <f>IF(OR(ISBLANK(AF32),ISBLANK(AH32)),"N/A",IF(ABS((AH32-AF32)/AF32)&gt;0.25,"&gt; 25%","ok"))</f>
        <v>ok</v>
      </c>
      <c r="CF30" s="79"/>
      <c r="CG30" s="79" t="str">
        <f>IF(OR(ISBLANK(AH32),ISBLANK(AJ32)),"N/A",IF(ABS((AJ32-AH32)/AH32)&gt;0.25,"&gt; 25%","ok"))</f>
        <v>ok</v>
      </c>
      <c r="CH30" s="79"/>
      <c r="CI30" s="79" t="str">
        <f>IF(OR(ISBLANK(AJ32),ISBLANK(AL30)),"N/A",IF(ABS((AL30-AJ32)/AJ32)&gt;0.25,"&gt; 25%","ok"))</f>
        <v>N/A</v>
      </c>
      <c r="CJ30" s="79"/>
      <c r="CK30" s="79" t="str">
        <f t="shared" si="14"/>
        <v>N/A</v>
      </c>
      <c r="CL30" s="79"/>
      <c r="CM30" s="79" t="str">
        <f t="shared" si="15"/>
        <v>N/A</v>
      </c>
      <c r="CN30" s="79"/>
      <c r="CO30" s="79" t="str">
        <f t="shared" si="16"/>
        <v>N/A</v>
      </c>
      <c r="CP30" s="79"/>
      <c r="CQ30" s="79" t="str">
        <f t="shared" si="17"/>
        <v>N/A</v>
      </c>
      <c r="CR30" s="79"/>
      <c r="CS30" s="79" t="str">
        <f t="shared" si="18"/>
        <v>N/A</v>
      </c>
      <c r="CT30" s="105"/>
      <c r="CU30" s="404"/>
      <c r="CV30" s="404"/>
      <c r="CW30" s="404"/>
      <c r="CX30" s="404"/>
      <c r="CY30" s="404"/>
      <c r="CZ30" s="404"/>
      <c r="DA30" s="404"/>
      <c r="DB30" s="404"/>
      <c r="DC30" s="404"/>
      <c r="DD30" s="404"/>
      <c r="DE30" s="404"/>
      <c r="DF30" s="404"/>
      <c r="DG30" s="404"/>
      <c r="DH30" s="404"/>
      <c r="DI30" s="404"/>
      <c r="DJ30" s="404"/>
      <c r="DK30" s="404"/>
      <c r="DL30" s="404"/>
      <c r="DM30" s="404"/>
      <c r="DN30" s="404"/>
      <c r="DO30" s="404"/>
      <c r="DP30" s="404"/>
      <c r="DQ30" s="404"/>
      <c r="DR30" s="404"/>
      <c r="DS30" s="404"/>
      <c r="DT30" s="404"/>
      <c r="DU30" s="404"/>
      <c r="DV30" s="404"/>
      <c r="DW30" s="404"/>
      <c r="DX30" s="404"/>
      <c r="DY30" s="404"/>
      <c r="DZ30" s="404"/>
      <c r="EA30" s="404"/>
      <c r="EB30" s="404"/>
      <c r="EC30" s="404"/>
      <c r="ED30" s="404"/>
      <c r="EE30" s="404"/>
      <c r="EF30" s="404"/>
      <c r="EG30" s="404"/>
    </row>
    <row r="31" spans="1:137" s="397" customFormat="1" ht="12" customHeight="1" x14ac:dyDescent="0.2">
      <c r="A31" s="223"/>
      <c r="B31" s="381">
        <v>5010</v>
      </c>
      <c r="C31" s="582"/>
      <c r="D31" s="582" t="s">
        <v>122</v>
      </c>
      <c r="E31" s="583"/>
      <c r="F31" s="578"/>
      <c r="G31" s="579"/>
      <c r="H31" s="578"/>
      <c r="I31" s="579"/>
      <c r="J31" s="578"/>
      <c r="K31" s="579"/>
      <c r="L31" s="578"/>
      <c r="M31" s="579"/>
      <c r="N31" s="578"/>
      <c r="O31" s="579"/>
      <c r="P31" s="578"/>
      <c r="Q31" s="579"/>
      <c r="R31" s="578"/>
      <c r="S31" s="579"/>
      <c r="T31" s="578"/>
      <c r="U31" s="579"/>
      <c r="V31" s="578"/>
      <c r="W31" s="579"/>
      <c r="X31" s="578"/>
      <c r="Y31" s="579"/>
      <c r="Z31" s="578"/>
      <c r="AA31" s="579"/>
      <c r="AB31" s="578"/>
      <c r="AC31" s="579"/>
      <c r="AD31" s="578"/>
      <c r="AE31" s="579"/>
      <c r="AF31" s="578"/>
      <c r="AG31" s="579"/>
      <c r="AH31" s="578"/>
      <c r="AI31" s="579"/>
      <c r="AJ31" s="578"/>
      <c r="AK31" s="579"/>
      <c r="AL31" s="578"/>
      <c r="AM31" s="579"/>
      <c r="AN31" s="578"/>
      <c r="AO31" s="579"/>
      <c r="AP31" s="578"/>
      <c r="AQ31" s="579"/>
      <c r="AR31" s="578"/>
      <c r="AS31" s="579"/>
      <c r="AT31" s="578"/>
      <c r="AU31" s="579"/>
      <c r="AV31" s="578"/>
      <c r="AW31" s="579"/>
      <c r="AY31" s="700"/>
      <c r="AZ31" s="583"/>
      <c r="BA31" s="661" t="s">
        <v>325</v>
      </c>
      <c r="BB31" s="81"/>
      <c r="BC31" s="79"/>
      <c r="BD31" s="258"/>
      <c r="BE31" s="79"/>
      <c r="BF31" s="258"/>
      <c r="BG31" s="79" t="str">
        <f t="shared" si="19"/>
        <v>N/A</v>
      </c>
      <c r="BH31" s="79"/>
      <c r="BI31" s="79" t="str">
        <f t="shared" si="0"/>
        <v>N/A</v>
      </c>
      <c r="BJ31" s="79"/>
      <c r="BK31" s="79" t="str">
        <f t="shared" si="1"/>
        <v>N/A</v>
      </c>
      <c r="BL31" s="79"/>
      <c r="BM31" s="79" t="str">
        <f t="shared" si="2"/>
        <v>N/A</v>
      </c>
      <c r="BN31" s="79"/>
      <c r="BO31" s="79" t="str">
        <f>IF(OR(ISBLANK(P31),ISBLANK(#REF!)),"N/A",IF(ABS((#REF!-P31)/P31)&gt;0.25,"&gt; 25%","ok"))</f>
        <v>N/A</v>
      </c>
      <c r="BP31" s="79"/>
      <c r="BQ31" s="79" t="e">
        <f>IF(OR(ISBLANK(#REF!),ISBLANK(#REF!)),"N/A",IF(ABS((#REF!-#REF!)/#REF!)&gt;0.25,"&gt; 25%","ok"))</f>
        <v>#REF!</v>
      </c>
      <c r="BR31" s="79"/>
      <c r="BS31" s="79" t="e">
        <f>IF(OR(ISBLANK(#REF!),ISBLANK(#REF!)),"N/A",IF(ABS((#REF!-#REF!)/#REF!)&gt;0.25,"&gt; 25%","ok"))</f>
        <v>#REF!</v>
      </c>
      <c r="BT31" s="79"/>
      <c r="BU31" s="79" t="e">
        <f>IF(OR(ISBLANK(#REF!),ISBLANK(#REF!)),"N/A",IF(ABS((#REF!-#REF!)/#REF!)&gt;0.25,"&gt; 25%","ok"))</f>
        <v>#REF!</v>
      </c>
      <c r="BV31" s="79"/>
      <c r="BW31" s="79" t="e">
        <f>IF(OR(ISBLANK(#REF!),ISBLANK(#REF!)),"N/A",IF(ABS((#REF!-#REF!)/#REF!)&gt;0.25,"&gt; 25%","ok"))</f>
        <v>#REF!</v>
      </c>
      <c r="BX31" s="79"/>
      <c r="BY31" s="79" t="e">
        <f>IF(OR(ISBLANK(#REF!),ISBLANK(#REF!)),"N/A",IF(ABS((#REF!-#REF!)/#REF!)&gt;0.25,"&gt; 25%","ok"))</f>
        <v>#REF!</v>
      </c>
      <c r="BZ31" s="79"/>
      <c r="CA31" s="79" t="e">
        <f>IF(OR(ISBLANK(#REF!),ISBLANK(#REF!)),"N/A",IF(ABS((#REF!-#REF!)/#REF!)&gt;0.25,"&gt; 25%","ok"))</f>
        <v>#REF!</v>
      </c>
      <c r="CB31" s="79"/>
      <c r="CC31" s="79" t="e">
        <f>IF(OR(ISBLANK(#REF!),ISBLANK(#REF!)),"N/A",IF(ABS((#REF!-#REF!)/#REF!)&gt;0.25,"&gt; 25%","ok"))</f>
        <v>#REF!</v>
      </c>
      <c r="CD31" s="79"/>
      <c r="CE31" s="79" t="e">
        <f>IF(OR(ISBLANK(#REF!),ISBLANK(#REF!)),"N/A",IF(ABS((#REF!-#REF!)/#REF!)&gt;0.25,"&gt; 25%","ok"))</f>
        <v>#REF!</v>
      </c>
      <c r="CF31" s="79"/>
      <c r="CG31" s="79" t="e">
        <f>IF(OR(ISBLANK(#REF!),ISBLANK(#REF!)),"N/A",IF(ABS((#REF!-#REF!)/#REF!)&gt;0.25,"&gt; 25%","ok"))</f>
        <v>#REF!</v>
      </c>
      <c r="CH31" s="79"/>
      <c r="CI31" s="79" t="str">
        <f>IF(OR(ISBLANK(#REF!),ISBLANK(AL31)),"N/A",IF(ABS((AL31-#REF!)/#REF!)&gt;0.25,"&gt; 25%","ok"))</f>
        <v>N/A</v>
      </c>
      <c r="CJ31" s="79"/>
      <c r="CK31" s="79" t="str">
        <f t="shared" si="14"/>
        <v>N/A</v>
      </c>
      <c r="CL31" s="79"/>
      <c r="CM31" s="79" t="str">
        <f t="shared" si="15"/>
        <v>N/A</v>
      </c>
      <c r="CN31" s="79"/>
      <c r="CO31" s="79" t="str">
        <f t="shared" si="16"/>
        <v>N/A</v>
      </c>
      <c r="CP31" s="79"/>
      <c r="CQ31" s="79" t="str">
        <f t="shared" si="17"/>
        <v>N/A</v>
      </c>
      <c r="CR31" s="79"/>
      <c r="CS31" s="79" t="str">
        <f t="shared" si="18"/>
        <v>N/A</v>
      </c>
      <c r="CT31" s="7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row>
    <row r="32" spans="1:137" s="397" customFormat="1" ht="15" customHeight="1" x14ac:dyDescent="0.2">
      <c r="A32" s="223"/>
      <c r="B32" s="381">
        <v>279</v>
      </c>
      <c r="C32" s="696">
        <v>23</v>
      </c>
      <c r="D32" s="641" t="s">
        <v>518</v>
      </c>
      <c r="E32" s="252" t="s">
        <v>57</v>
      </c>
      <c r="F32" s="550"/>
      <c r="G32" s="568"/>
      <c r="H32" s="550"/>
      <c r="I32" s="568"/>
      <c r="J32" s="550"/>
      <c r="K32" s="568"/>
      <c r="L32" s="550"/>
      <c r="M32" s="568"/>
      <c r="N32" s="550"/>
      <c r="O32" s="568"/>
      <c r="P32" s="550"/>
      <c r="Q32" s="568"/>
      <c r="R32" s="550">
        <v>203181.5</v>
      </c>
      <c r="S32" s="568"/>
      <c r="T32" s="550">
        <v>198948.203125</v>
      </c>
      <c r="U32" s="568"/>
      <c r="V32" s="550">
        <v>205402.09375</v>
      </c>
      <c r="W32" s="568"/>
      <c r="X32" s="550">
        <v>218565.90625</v>
      </c>
      <c r="Y32" s="568"/>
      <c r="Z32" s="550">
        <v>197206.90625</v>
      </c>
      <c r="AA32" s="568"/>
      <c r="AB32" s="550">
        <v>195663.59375</v>
      </c>
      <c r="AC32" s="568"/>
      <c r="AD32" s="550">
        <v>182898.59375</v>
      </c>
      <c r="AE32" s="568"/>
      <c r="AF32" s="550">
        <v>173769.203125</v>
      </c>
      <c r="AG32" s="568"/>
      <c r="AH32" s="550">
        <v>170926.59375</v>
      </c>
      <c r="AI32" s="568"/>
      <c r="AJ32" s="550">
        <v>172386.40625</v>
      </c>
      <c r="AK32" s="568"/>
      <c r="AL32" s="550"/>
      <c r="AM32" s="568"/>
      <c r="AN32" s="550"/>
      <c r="AO32" s="568"/>
      <c r="AP32" s="550"/>
      <c r="AQ32" s="568"/>
      <c r="AR32" s="550"/>
      <c r="AS32" s="568"/>
      <c r="AT32" s="550"/>
      <c r="AU32" s="568"/>
      <c r="AV32" s="550"/>
      <c r="AW32" s="568"/>
      <c r="AY32" s="700"/>
      <c r="AZ32" s="617">
        <v>23</v>
      </c>
      <c r="BA32" s="307" t="s">
        <v>271</v>
      </c>
      <c r="BB32" s="81" t="s">
        <v>453</v>
      </c>
      <c r="BC32" s="79" t="s">
        <v>457</v>
      </c>
      <c r="BD32" s="258"/>
      <c r="BE32" s="79" t="str">
        <f t="shared" ref="BE32:BE40" si="21">IF(OR(ISBLANK(F32),ISBLANK(H32)),"N/A",IF(ABS((H32-F32)/F32)&gt;1,"&gt; 100%","ok"))</f>
        <v>N/A</v>
      </c>
      <c r="BF32" s="258"/>
      <c r="BG32" s="79" t="str">
        <f t="shared" si="19"/>
        <v>N/A</v>
      </c>
      <c r="BH32" s="79"/>
      <c r="BI32" s="79" t="str">
        <f t="shared" si="0"/>
        <v>N/A</v>
      </c>
      <c r="BJ32" s="79"/>
      <c r="BK32" s="79" t="str">
        <f t="shared" si="1"/>
        <v>N/A</v>
      </c>
      <c r="BL32" s="79"/>
      <c r="BM32" s="79" t="str">
        <f t="shared" si="2"/>
        <v>N/A</v>
      </c>
      <c r="BN32" s="79"/>
      <c r="BO32" s="79" t="str">
        <f>IF(OR(ISBLANK(P32),ISBLANK(#REF!)),"N/A",IF(ABS((#REF!-P32)/P32)&gt;0.25,"&gt; 25%","ok"))</f>
        <v>N/A</v>
      </c>
      <c r="BP32" s="79"/>
      <c r="BQ32" s="79" t="e">
        <f>IF(OR(ISBLANK(#REF!),ISBLANK(#REF!)),"N/A",IF(ABS((#REF!-#REF!)/#REF!)&gt;0.25,"&gt; 25%","ok"))</f>
        <v>#REF!</v>
      </c>
      <c r="BR32" s="79"/>
      <c r="BS32" s="79" t="e">
        <f>IF(OR(ISBLANK(#REF!),ISBLANK(#REF!)),"N/A",IF(ABS((#REF!-#REF!)/#REF!)&gt;0.25,"&gt; 25%","ok"))</f>
        <v>#REF!</v>
      </c>
      <c r="BT32" s="79"/>
      <c r="BU32" s="79" t="e">
        <f>IF(OR(ISBLANK(#REF!),ISBLANK(#REF!)),"N/A",IF(ABS((#REF!-#REF!)/#REF!)&gt;0.25,"&gt; 25%","ok"))</f>
        <v>#REF!</v>
      </c>
      <c r="BV32" s="79"/>
      <c r="BW32" s="79" t="e">
        <f>IF(OR(ISBLANK(#REF!),ISBLANK(#REF!)),"N/A",IF(ABS((#REF!-#REF!)/#REF!)&gt;0.25,"&gt; 25%","ok"))</f>
        <v>#REF!</v>
      </c>
      <c r="BX32" s="79"/>
      <c r="BY32" s="79" t="e">
        <f>IF(OR(ISBLANK(#REF!),ISBLANK(#REF!)),"N/A",IF(ABS((#REF!-#REF!)/#REF!)&gt;0.25,"&gt; 25%","ok"))</f>
        <v>#REF!</v>
      </c>
      <c r="BZ32" s="79"/>
      <c r="CA32" s="79" t="e">
        <f>IF(OR(ISBLANK(#REF!),ISBLANK(#REF!)),"N/A",IF(ABS((#REF!-#REF!)/#REF!)&gt;0.25,"&gt; 25%","ok"))</f>
        <v>#REF!</v>
      </c>
      <c r="CB32" s="79"/>
      <c r="CC32" s="79" t="e">
        <f>IF(OR(ISBLANK(#REF!),ISBLANK(#REF!)),"N/A",IF(ABS((#REF!-#REF!)/#REF!)&gt;0.25,"&gt; 25%","ok"))</f>
        <v>#REF!</v>
      </c>
      <c r="CD32" s="79"/>
      <c r="CE32" s="79" t="e">
        <f>IF(OR(ISBLANK(#REF!),ISBLANK(#REF!)),"N/A",IF(ABS((#REF!-#REF!)/#REF!)&gt;0.25,"&gt; 25%","ok"))</f>
        <v>#REF!</v>
      </c>
      <c r="CF32" s="79"/>
      <c r="CG32" s="79" t="e">
        <f>IF(OR(ISBLANK(#REF!),ISBLANK(#REF!)),"N/A",IF(ABS((#REF!-#REF!)/#REF!)&gt;0.25,"&gt; 25%","ok"))</f>
        <v>#REF!</v>
      </c>
      <c r="CH32" s="79"/>
      <c r="CI32" s="79" t="str">
        <f>IF(OR(ISBLANK(#REF!),ISBLANK(AL32)),"N/A",IF(ABS((AL32-#REF!)/#REF!)&gt;0.25,"&gt; 25%","ok"))</f>
        <v>N/A</v>
      </c>
      <c r="CJ32" s="79"/>
      <c r="CK32" s="79" t="str">
        <f t="shared" si="14"/>
        <v>N/A</v>
      </c>
      <c r="CL32" s="79"/>
      <c r="CM32" s="79" t="str">
        <f t="shared" si="15"/>
        <v>N/A</v>
      </c>
      <c r="CN32" s="79"/>
      <c r="CO32" s="79" t="str">
        <f t="shared" si="16"/>
        <v>N/A</v>
      </c>
      <c r="CP32" s="79"/>
      <c r="CQ32" s="79" t="str">
        <f t="shared" si="17"/>
        <v>N/A</v>
      </c>
      <c r="CR32" s="79"/>
      <c r="CS32" s="79" t="str">
        <f t="shared" si="18"/>
        <v>N/A</v>
      </c>
      <c r="CT32" s="7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row>
    <row r="33" spans="1:137" s="397" customFormat="1" ht="15" customHeight="1" x14ac:dyDescent="0.2">
      <c r="A33" s="223"/>
      <c r="B33" s="381">
        <v>280</v>
      </c>
      <c r="C33" s="697">
        <v>24</v>
      </c>
      <c r="D33" s="641" t="s">
        <v>121</v>
      </c>
      <c r="E33" s="252" t="s">
        <v>57</v>
      </c>
      <c r="F33" s="544"/>
      <c r="G33" s="565"/>
      <c r="H33" s="544"/>
      <c r="I33" s="565"/>
      <c r="J33" s="544"/>
      <c r="K33" s="565"/>
      <c r="L33" s="544"/>
      <c r="M33" s="565"/>
      <c r="N33" s="544"/>
      <c r="O33" s="565"/>
      <c r="P33" s="544"/>
      <c r="Q33" s="565"/>
      <c r="R33" s="544"/>
      <c r="S33" s="565"/>
      <c r="T33" s="544"/>
      <c r="U33" s="565"/>
      <c r="V33" s="544"/>
      <c r="W33" s="565"/>
      <c r="X33" s="544"/>
      <c r="Y33" s="565"/>
      <c r="Z33" s="544"/>
      <c r="AA33" s="565"/>
      <c r="AB33" s="544"/>
      <c r="AC33" s="565"/>
      <c r="AD33" s="544"/>
      <c r="AE33" s="565"/>
      <c r="AF33" s="544"/>
      <c r="AG33" s="565"/>
      <c r="AH33" s="544"/>
      <c r="AI33" s="565"/>
      <c r="AJ33" s="544"/>
      <c r="AK33" s="565"/>
      <c r="AL33" s="544"/>
      <c r="AM33" s="565"/>
      <c r="AN33" s="544"/>
      <c r="AO33" s="565"/>
      <c r="AP33" s="544"/>
      <c r="AQ33" s="565"/>
      <c r="AR33" s="544"/>
      <c r="AS33" s="565"/>
      <c r="AT33" s="544"/>
      <c r="AU33" s="565"/>
      <c r="AV33" s="544"/>
      <c r="AW33" s="565"/>
      <c r="AY33" s="700"/>
      <c r="AZ33" s="617">
        <v>24</v>
      </c>
      <c r="BA33" s="307" t="s">
        <v>139</v>
      </c>
      <c r="BB33" s="81" t="s">
        <v>453</v>
      </c>
      <c r="BC33" s="79" t="s">
        <v>457</v>
      </c>
      <c r="BD33" s="262"/>
      <c r="BE33" s="79" t="str">
        <f t="shared" si="21"/>
        <v>N/A</v>
      </c>
      <c r="BF33" s="258"/>
      <c r="BG33" s="79" t="str">
        <f t="shared" si="19"/>
        <v>N/A</v>
      </c>
      <c r="BH33" s="79"/>
      <c r="BI33" s="79" t="str">
        <f t="shared" si="0"/>
        <v>N/A</v>
      </c>
      <c r="BJ33" s="79"/>
      <c r="BK33" s="79" t="str">
        <f t="shared" si="1"/>
        <v>N/A</v>
      </c>
      <c r="BL33" s="79"/>
      <c r="BM33" s="79" t="str">
        <f t="shared" si="2"/>
        <v>N/A</v>
      </c>
      <c r="BN33" s="79"/>
      <c r="BO33" s="79" t="str">
        <f t="shared" si="3"/>
        <v>N/A</v>
      </c>
      <c r="BP33" s="79"/>
      <c r="BQ33" s="79" t="str">
        <f t="shared" si="4"/>
        <v>N/A</v>
      </c>
      <c r="BR33" s="79"/>
      <c r="BS33" s="79" t="str">
        <f t="shared" si="5"/>
        <v>N/A</v>
      </c>
      <c r="BT33" s="79"/>
      <c r="BU33" s="79" t="str">
        <f t="shared" si="6"/>
        <v>N/A</v>
      </c>
      <c r="BV33" s="79"/>
      <c r="BW33" s="79" t="str">
        <f t="shared" si="7"/>
        <v>N/A</v>
      </c>
      <c r="BX33" s="79"/>
      <c r="BY33" s="79" t="str">
        <f t="shared" si="8"/>
        <v>N/A</v>
      </c>
      <c r="BZ33" s="79"/>
      <c r="CA33" s="79" t="str">
        <f t="shared" si="9"/>
        <v>N/A</v>
      </c>
      <c r="CB33" s="79"/>
      <c r="CC33" s="79" t="str">
        <f t="shared" si="10"/>
        <v>N/A</v>
      </c>
      <c r="CD33" s="79"/>
      <c r="CE33" s="79" t="str">
        <f t="shared" si="11"/>
        <v>N/A</v>
      </c>
      <c r="CF33" s="79"/>
      <c r="CG33" s="79" t="str">
        <f t="shared" si="12"/>
        <v>N/A</v>
      </c>
      <c r="CH33" s="79"/>
      <c r="CI33" s="79" t="str">
        <f t="shared" si="13"/>
        <v>N/A</v>
      </c>
      <c r="CJ33" s="79"/>
      <c r="CK33" s="79" t="str">
        <f t="shared" si="14"/>
        <v>N/A</v>
      </c>
      <c r="CL33" s="79"/>
      <c r="CM33" s="79" t="str">
        <f t="shared" si="15"/>
        <v>N/A</v>
      </c>
      <c r="CN33" s="79"/>
      <c r="CO33" s="79" t="str">
        <f t="shared" si="16"/>
        <v>N/A</v>
      </c>
      <c r="CP33" s="79"/>
      <c r="CQ33" s="79" t="str">
        <f t="shared" si="17"/>
        <v>N/A</v>
      </c>
      <c r="CR33" s="79"/>
      <c r="CS33" s="79" t="str">
        <f t="shared" si="18"/>
        <v>N/A</v>
      </c>
      <c r="CT33" s="7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row>
    <row r="34" spans="1:137" s="397" customFormat="1" ht="15" customHeight="1" x14ac:dyDescent="0.2">
      <c r="A34" s="223"/>
      <c r="B34" s="381">
        <v>281</v>
      </c>
      <c r="C34" s="696">
        <v>25</v>
      </c>
      <c r="D34" s="650" t="s">
        <v>640</v>
      </c>
      <c r="E34" s="252" t="s">
        <v>57</v>
      </c>
      <c r="F34" s="544"/>
      <c r="G34" s="565"/>
      <c r="H34" s="544"/>
      <c r="I34" s="565"/>
      <c r="J34" s="544"/>
      <c r="K34" s="565"/>
      <c r="L34" s="544"/>
      <c r="M34" s="565"/>
      <c r="N34" s="544"/>
      <c r="O34" s="565"/>
      <c r="P34" s="544"/>
      <c r="Q34" s="565"/>
      <c r="R34" s="544"/>
      <c r="S34" s="565"/>
      <c r="T34" s="544"/>
      <c r="U34" s="565"/>
      <c r="V34" s="544"/>
      <c r="W34" s="565"/>
      <c r="X34" s="544"/>
      <c r="Y34" s="565"/>
      <c r="Z34" s="544"/>
      <c r="AA34" s="565"/>
      <c r="AB34" s="544"/>
      <c r="AC34" s="565"/>
      <c r="AD34" s="544"/>
      <c r="AE34" s="565"/>
      <c r="AF34" s="544"/>
      <c r="AG34" s="565"/>
      <c r="AH34" s="544"/>
      <c r="AI34" s="565"/>
      <c r="AJ34" s="544"/>
      <c r="AK34" s="565"/>
      <c r="AL34" s="544"/>
      <c r="AM34" s="565"/>
      <c r="AN34" s="544"/>
      <c r="AO34" s="565"/>
      <c r="AP34" s="544"/>
      <c r="AQ34" s="565"/>
      <c r="AR34" s="544"/>
      <c r="AS34" s="565"/>
      <c r="AT34" s="544"/>
      <c r="AU34" s="565"/>
      <c r="AV34" s="544"/>
      <c r="AW34" s="565"/>
      <c r="AY34" s="700"/>
      <c r="AZ34" s="617">
        <v>25</v>
      </c>
      <c r="BA34" s="307" t="s">
        <v>574</v>
      </c>
      <c r="BB34" s="81" t="s">
        <v>453</v>
      </c>
      <c r="BC34" s="79"/>
      <c r="BD34" s="262"/>
      <c r="BE34" s="79" t="str">
        <f t="shared" si="21"/>
        <v>N/A</v>
      </c>
      <c r="BF34" s="258"/>
      <c r="BG34" s="79" t="str">
        <f t="shared" si="19"/>
        <v>N/A</v>
      </c>
      <c r="BH34" s="79"/>
      <c r="BI34" s="79" t="str">
        <f t="shared" si="0"/>
        <v>N/A</v>
      </c>
      <c r="BJ34" s="79"/>
      <c r="BK34" s="79" t="str">
        <f t="shared" si="1"/>
        <v>N/A</v>
      </c>
      <c r="BL34" s="79"/>
      <c r="BM34" s="79" t="str">
        <f t="shared" si="2"/>
        <v>N/A</v>
      </c>
      <c r="BN34" s="79"/>
      <c r="BO34" s="79" t="str">
        <f t="shared" si="3"/>
        <v>N/A</v>
      </c>
      <c r="BP34" s="79"/>
      <c r="BQ34" s="79" t="str">
        <f t="shared" si="4"/>
        <v>N/A</v>
      </c>
      <c r="BR34" s="79"/>
      <c r="BS34" s="79" t="str">
        <f t="shared" si="5"/>
        <v>N/A</v>
      </c>
      <c r="BT34" s="79"/>
      <c r="BU34" s="79" t="str">
        <f t="shared" si="6"/>
        <v>N/A</v>
      </c>
      <c r="BV34" s="79"/>
      <c r="BW34" s="79" t="str">
        <f t="shared" si="7"/>
        <v>N/A</v>
      </c>
      <c r="BX34" s="79"/>
      <c r="BY34" s="79" t="str">
        <f t="shared" si="8"/>
        <v>N/A</v>
      </c>
      <c r="BZ34" s="79"/>
      <c r="CA34" s="79" t="str">
        <f t="shared" si="9"/>
        <v>N/A</v>
      </c>
      <c r="CB34" s="79"/>
      <c r="CC34" s="79" t="str">
        <f t="shared" si="10"/>
        <v>N/A</v>
      </c>
      <c r="CD34" s="79"/>
      <c r="CE34" s="79" t="str">
        <f t="shared" si="11"/>
        <v>N/A</v>
      </c>
      <c r="CF34" s="79"/>
      <c r="CG34" s="79" t="str">
        <f t="shared" si="12"/>
        <v>N/A</v>
      </c>
      <c r="CH34" s="79"/>
      <c r="CI34" s="79" t="str">
        <f t="shared" si="13"/>
        <v>N/A</v>
      </c>
      <c r="CJ34" s="79"/>
      <c r="CK34" s="79" t="str">
        <f t="shared" si="14"/>
        <v>N/A</v>
      </c>
      <c r="CL34" s="79"/>
      <c r="CM34" s="79" t="str">
        <f t="shared" si="15"/>
        <v>N/A</v>
      </c>
      <c r="CN34" s="79"/>
      <c r="CO34" s="79" t="str">
        <f t="shared" si="16"/>
        <v>N/A</v>
      </c>
      <c r="CP34" s="79"/>
      <c r="CQ34" s="79" t="str">
        <f t="shared" si="17"/>
        <v>N/A</v>
      </c>
      <c r="CR34" s="79"/>
      <c r="CS34" s="79" t="str">
        <f t="shared" si="18"/>
        <v>N/A</v>
      </c>
      <c r="CT34" s="7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row>
    <row r="35" spans="1:137" s="397" customFormat="1" ht="15" customHeight="1" x14ac:dyDescent="0.2">
      <c r="A35" s="223"/>
      <c r="B35" s="381">
        <v>201</v>
      </c>
      <c r="C35" s="697">
        <v>26</v>
      </c>
      <c r="D35" s="641" t="s">
        <v>562</v>
      </c>
      <c r="E35" s="252" t="s">
        <v>57</v>
      </c>
      <c r="F35" s="544"/>
      <c r="G35" s="565"/>
      <c r="H35" s="544"/>
      <c r="I35" s="565"/>
      <c r="J35" s="544"/>
      <c r="K35" s="565"/>
      <c r="L35" s="544"/>
      <c r="M35" s="565"/>
      <c r="N35" s="544"/>
      <c r="O35" s="565"/>
      <c r="P35" s="544"/>
      <c r="Q35" s="565"/>
      <c r="R35" s="544"/>
      <c r="S35" s="565"/>
      <c r="T35" s="544"/>
      <c r="U35" s="565"/>
      <c r="V35" s="544"/>
      <c r="W35" s="565"/>
      <c r="X35" s="544"/>
      <c r="Y35" s="565"/>
      <c r="Z35" s="544"/>
      <c r="AA35" s="565"/>
      <c r="AB35" s="544"/>
      <c r="AC35" s="565"/>
      <c r="AD35" s="544"/>
      <c r="AE35" s="565"/>
      <c r="AF35" s="544"/>
      <c r="AG35" s="565"/>
      <c r="AH35" s="544"/>
      <c r="AI35" s="565"/>
      <c r="AJ35" s="544"/>
      <c r="AK35" s="565"/>
      <c r="AL35" s="544"/>
      <c r="AM35" s="565"/>
      <c r="AN35" s="544"/>
      <c r="AO35" s="565"/>
      <c r="AP35" s="544"/>
      <c r="AQ35" s="565"/>
      <c r="AR35" s="544"/>
      <c r="AS35" s="565"/>
      <c r="AT35" s="544"/>
      <c r="AU35" s="565"/>
      <c r="AV35" s="544"/>
      <c r="AW35" s="565"/>
      <c r="AY35" s="700"/>
      <c r="AZ35" s="617">
        <v>26</v>
      </c>
      <c r="BA35" s="307" t="s">
        <v>575</v>
      </c>
      <c r="BB35" s="81" t="s">
        <v>453</v>
      </c>
      <c r="BC35" s="79"/>
      <c r="BD35" s="262"/>
      <c r="BE35" s="79" t="str">
        <f t="shared" si="21"/>
        <v>N/A</v>
      </c>
      <c r="BF35" s="258"/>
      <c r="BG35" s="79" t="str">
        <f t="shared" si="19"/>
        <v>N/A</v>
      </c>
      <c r="BH35" s="79"/>
      <c r="BI35" s="79" t="str">
        <f t="shared" si="0"/>
        <v>N/A</v>
      </c>
      <c r="BJ35" s="79"/>
      <c r="BK35" s="79" t="str">
        <f t="shared" si="1"/>
        <v>N/A</v>
      </c>
      <c r="BL35" s="79"/>
      <c r="BM35" s="79" t="str">
        <f t="shared" si="2"/>
        <v>N/A</v>
      </c>
      <c r="BN35" s="79"/>
      <c r="BO35" s="79" t="str">
        <f t="shared" si="3"/>
        <v>N/A</v>
      </c>
      <c r="BP35" s="79"/>
      <c r="BQ35" s="79" t="str">
        <f t="shared" si="4"/>
        <v>N/A</v>
      </c>
      <c r="BR35" s="79"/>
      <c r="BS35" s="79" t="str">
        <f t="shared" si="5"/>
        <v>N/A</v>
      </c>
      <c r="BT35" s="79"/>
      <c r="BU35" s="79" t="str">
        <f t="shared" si="6"/>
        <v>N/A</v>
      </c>
      <c r="BV35" s="79"/>
      <c r="BW35" s="79" t="str">
        <f t="shared" si="7"/>
        <v>N/A</v>
      </c>
      <c r="BX35" s="79"/>
      <c r="BY35" s="79" t="str">
        <f t="shared" si="8"/>
        <v>N/A</v>
      </c>
      <c r="BZ35" s="79"/>
      <c r="CA35" s="79" t="str">
        <f t="shared" si="9"/>
        <v>N/A</v>
      </c>
      <c r="CB35" s="79"/>
      <c r="CC35" s="79" t="str">
        <f t="shared" si="10"/>
        <v>N/A</v>
      </c>
      <c r="CD35" s="79"/>
      <c r="CE35" s="79" t="str">
        <f t="shared" si="11"/>
        <v>N/A</v>
      </c>
      <c r="CF35" s="79"/>
      <c r="CG35" s="79" t="str">
        <f t="shared" si="12"/>
        <v>N/A</v>
      </c>
      <c r="CH35" s="79"/>
      <c r="CI35" s="79" t="str">
        <f t="shared" si="13"/>
        <v>N/A</v>
      </c>
      <c r="CJ35" s="79"/>
      <c r="CK35" s="79" t="str">
        <f t="shared" si="14"/>
        <v>N/A</v>
      </c>
      <c r="CL35" s="79"/>
      <c r="CM35" s="79" t="str">
        <f t="shared" si="15"/>
        <v>N/A</v>
      </c>
      <c r="CN35" s="79"/>
      <c r="CO35" s="79" t="str">
        <f t="shared" si="16"/>
        <v>N/A</v>
      </c>
      <c r="CP35" s="79"/>
      <c r="CQ35" s="79" t="str">
        <f t="shared" si="17"/>
        <v>N/A</v>
      </c>
      <c r="CR35" s="79"/>
      <c r="CS35" s="79" t="str">
        <f t="shared" si="18"/>
        <v>N/A</v>
      </c>
      <c r="CT35" s="7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row>
    <row r="36" spans="1:137" s="397" customFormat="1" ht="15" customHeight="1" x14ac:dyDescent="0.2">
      <c r="A36" s="223"/>
      <c r="B36" s="381">
        <v>282</v>
      </c>
      <c r="C36" s="696">
        <v>27</v>
      </c>
      <c r="D36" s="641" t="s">
        <v>519</v>
      </c>
      <c r="E36" s="252" t="s">
        <v>57</v>
      </c>
      <c r="F36" s="544"/>
      <c r="G36" s="565"/>
      <c r="H36" s="544"/>
      <c r="I36" s="565"/>
      <c r="J36" s="544"/>
      <c r="K36" s="565"/>
      <c r="L36" s="544"/>
      <c r="M36" s="565"/>
      <c r="N36" s="544"/>
      <c r="O36" s="565"/>
      <c r="P36" s="544"/>
      <c r="Q36" s="565"/>
      <c r="R36" s="544"/>
      <c r="S36" s="565"/>
      <c r="T36" s="544"/>
      <c r="U36" s="565"/>
      <c r="V36" s="544"/>
      <c r="W36" s="565"/>
      <c r="X36" s="544"/>
      <c r="Y36" s="565"/>
      <c r="Z36" s="544"/>
      <c r="AA36" s="565"/>
      <c r="AB36" s="544"/>
      <c r="AC36" s="565"/>
      <c r="AD36" s="544"/>
      <c r="AE36" s="565"/>
      <c r="AF36" s="544"/>
      <c r="AG36" s="565"/>
      <c r="AH36" s="544"/>
      <c r="AI36" s="565"/>
      <c r="AJ36" s="544"/>
      <c r="AK36" s="565"/>
      <c r="AL36" s="544"/>
      <c r="AM36" s="565"/>
      <c r="AN36" s="544"/>
      <c r="AO36" s="565"/>
      <c r="AP36" s="544"/>
      <c r="AQ36" s="565"/>
      <c r="AR36" s="544"/>
      <c r="AS36" s="565"/>
      <c r="AT36" s="544"/>
      <c r="AU36" s="565"/>
      <c r="AV36" s="544"/>
      <c r="AW36" s="565"/>
      <c r="AY36" s="700"/>
      <c r="AZ36" s="617">
        <v>27</v>
      </c>
      <c r="BA36" s="307" t="s">
        <v>272</v>
      </c>
      <c r="BB36" s="81" t="s">
        <v>453</v>
      </c>
      <c r="BC36" s="79" t="s">
        <v>457</v>
      </c>
      <c r="BD36" s="262"/>
      <c r="BE36" s="79" t="str">
        <f t="shared" si="21"/>
        <v>N/A</v>
      </c>
      <c r="BF36" s="258"/>
      <c r="BG36" s="79" t="str">
        <f t="shared" si="19"/>
        <v>N/A</v>
      </c>
      <c r="BH36" s="79"/>
      <c r="BI36" s="79" t="str">
        <f t="shared" si="0"/>
        <v>N/A</v>
      </c>
      <c r="BJ36" s="79"/>
      <c r="BK36" s="79" t="str">
        <f t="shared" si="1"/>
        <v>N/A</v>
      </c>
      <c r="BL36" s="79"/>
      <c r="BM36" s="79" t="str">
        <f t="shared" si="2"/>
        <v>N/A</v>
      </c>
      <c r="BN36" s="79"/>
      <c r="BO36" s="79" t="str">
        <f t="shared" si="3"/>
        <v>N/A</v>
      </c>
      <c r="BP36" s="79"/>
      <c r="BQ36" s="79" t="str">
        <f t="shared" si="4"/>
        <v>N/A</v>
      </c>
      <c r="BR36" s="79"/>
      <c r="BS36" s="79" t="str">
        <f t="shared" si="5"/>
        <v>N/A</v>
      </c>
      <c r="BT36" s="79"/>
      <c r="BU36" s="79" t="str">
        <f t="shared" si="6"/>
        <v>N/A</v>
      </c>
      <c r="BV36" s="79"/>
      <c r="BW36" s="79" t="str">
        <f t="shared" si="7"/>
        <v>N/A</v>
      </c>
      <c r="BX36" s="79"/>
      <c r="BY36" s="79" t="str">
        <f t="shared" si="8"/>
        <v>N/A</v>
      </c>
      <c r="BZ36" s="79"/>
      <c r="CA36" s="79" t="str">
        <f t="shared" si="9"/>
        <v>N/A</v>
      </c>
      <c r="CB36" s="79"/>
      <c r="CC36" s="79" t="str">
        <f t="shared" si="10"/>
        <v>N/A</v>
      </c>
      <c r="CD36" s="79"/>
      <c r="CE36" s="79" t="str">
        <f t="shared" si="11"/>
        <v>N/A</v>
      </c>
      <c r="CF36" s="79"/>
      <c r="CG36" s="79" t="str">
        <f t="shared" si="12"/>
        <v>N/A</v>
      </c>
      <c r="CH36" s="79"/>
      <c r="CI36" s="79" t="str">
        <f t="shared" si="13"/>
        <v>N/A</v>
      </c>
      <c r="CJ36" s="79"/>
      <c r="CK36" s="79" t="str">
        <f t="shared" si="14"/>
        <v>N/A</v>
      </c>
      <c r="CL36" s="79"/>
      <c r="CM36" s="79" t="str">
        <f t="shared" si="15"/>
        <v>N/A</v>
      </c>
      <c r="CN36" s="79"/>
      <c r="CO36" s="79" t="str">
        <f t="shared" si="16"/>
        <v>N/A</v>
      </c>
      <c r="CP36" s="79"/>
      <c r="CQ36" s="79" t="str">
        <f t="shared" si="17"/>
        <v>N/A</v>
      </c>
      <c r="CR36" s="79"/>
      <c r="CS36" s="79" t="str">
        <f t="shared" si="18"/>
        <v>N/A</v>
      </c>
      <c r="CT36" s="7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row>
    <row r="37" spans="1:137" s="397" customFormat="1" ht="27" customHeight="1" x14ac:dyDescent="0.2">
      <c r="A37" s="223"/>
      <c r="B37" s="381">
        <v>202</v>
      </c>
      <c r="C37" s="697">
        <v>28</v>
      </c>
      <c r="D37" s="641" t="s">
        <v>563</v>
      </c>
      <c r="E37" s="252" t="s">
        <v>57</v>
      </c>
      <c r="F37" s="544"/>
      <c r="G37" s="565"/>
      <c r="H37" s="544"/>
      <c r="I37" s="565"/>
      <c r="J37" s="544"/>
      <c r="K37" s="565"/>
      <c r="L37" s="544"/>
      <c r="M37" s="565"/>
      <c r="N37" s="544"/>
      <c r="O37" s="565"/>
      <c r="P37" s="544"/>
      <c r="Q37" s="565"/>
      <c r="R37" s="544"/>
      <c r="S37" s="565"/>
      <c r="T37" s="544"/>
      <c r="U37" s="565"/>
      <c r="V37" s="544"/>
      <c r="W37" s="565"/>
      <c r="X37" s="544"/>
      <c r="Y37" s="565"/>
      <c r="Z37" s="544"/>
      <c r="AA37" s="565"/>
      <c r="AB37" s="544"/>
      <c r="AC37" s="565"/>
      <c r="AD37" s="544"/>
      <c r="AE37" s="565"/>
      <c r="AF37" s="544"/>
      <c r="AG37" s="565"/>
      <c r="AH37" s="544"/>
      <c r="AI37" s="565"/>
      <c r="AJ37" s="544"/>
      <c r="AK37" s="565"/>
      <c r="AL37" s="544"/>
      <c r="AM37" s="565"/>
      <c r="AN37" s="544"/>
      <c r="AO37" s="565"/>
      <c r="AP37" s="544"/>
      <c r="AQ37" s="565"/>
      <c r="AR37" s="544"/>
      <c r="AS37" s="565"/>
      <c r="AT37" s="544"/>
      <c r="AU37" s="565"/>
      <c r="AV37" s="544"/>
      <c r="AW37" s="565"/>
      <c r="AY37" s="700"/>
      <c r="AZ37" s="619">
        <v>28</v>
      </c>
      <c r="BA37" s="307" t="s">
        <v>576</v>
      </c>
      <c r="BB37" s="81" t="s">
        <v>453</v>
      </c>
      <c r="BC37" s="79"/>
      <c r="BD37" s="262"/>
      <c r="BE37" s="79" t="str">
        <f t="shared" si="21"/>
        <v>N/A</v>
      </c>
      <c r="BF37" s="258"/>
      <c r="BG37" s="79" t="str">
        <f t="shared" si="19"/>
        <v>N/A</v>
      </c>
      <c r="BH37" s="79"/>
      <c r="BI37" s="79" t="str">
        <f t="shared" si="0"/>
        <v>N/A</v>
      </c>
      <c r="BJ37" s="79"/>
      <c r="BK37" s="79" t="str">
        <f t="shared" si="1"/>
        <v>N/A</v>
      </c>
      <c r="BL37" s="79"/>
      <c r="BM37" s="79" t="str">
        <f t="shared" si="2"/>
        <v>N/A</v>
      </c>
      <c r="BN37" s="79"/>
      <c r="BO37" s="79" t="str">
        <f t="shared" si="3"/>
        <v>N/A</v>
      </c>
      <c r="BP37" s="79"/>
      <c r="BQ37" s="79" t="str">
        <f t="shared" si="4"/>
        <v>N/A</v>
      </c>
      <c r="BR37" s="79"/>
      <c r="BS37" s="79" t="str">
        <f t="shared" si="5"/>
        <v>N/A</v>
      </c>
      <c r="BT37" s="79"/>
      <c r="BU37" s="79" t="str">
        <f t="shared" si="6"/>
        <v>N/A</v>
      </c>
      <c r="BV37" s="79"/>
      <c r="BW37" s="79" t="str">
        <f t="shared" si="7"/>
        <v>N/A</v>
      </c>
      <c r="BX37" s="79"/>
      <c r="BY37" s="79" t="str">
        <f t="shared" si="8"/>
        <v>N/A</v>
      </c>
      <c r="BZ37" s="79"/>
      <c r="CA37" s="79" t="str">
        <f t="shared" si="9"/>
        <v>N/A</v>
      </c>
      <c r="CB37" s="79"/>
      <c r="CC37" s="79" t="str">
        <f t="shared" si="10"/>
        <v>N/A</v>
      </c>
      <c r="CD37" s="79"/>
      <c r="CE37" s="79" t="str">
        <f t="shared" si="11"/>
        <v>N/A</v>
      </c>
      <c r="CF37" s="79"/>
      <c r="CG37" s="79" t="str">
        <f t="shared" si="12"/>
        <v>N/A</v>
      </c>
      <c r="CH37" s="79"/>
      <c r="CI37" s="79" t="str">
        <f t="shared" si="13"/>
        <v>N/A</v>
      </c>
      <c r="CJ37" s="79"/>
      <c r="CK37" s="79" t="str">
        <f t="shared" si="14"/>
        <v>N/A</v>
      </c>
      <c r="CL37" s="79"/>
      <c r="CM37" s="79" t="str">
        <f t="shared" si="15"/>
        <v>N/A</v>
      </c>
      <c r="CN37" s="79"/>
      <c r="CO37" s="79" t="str">
        <f t="shared" si="16"/>
        <v>N/A</v>
      </c>
      <c r="CP37" s="79"/>
      <c r="CQ37" s="79" t="str">
        <f t="shared" si="17"/>
        <v>N/A</v>
      </c>
      <c r="CR37" s="79"/>
      <c r="CS37" s="79" t="str">
        <f t="shared" si="18"/>
        <v>N/A</v>
      </c>
      <c r="CT37" s="7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row>
    <row r="38" spans="1:137" s="397" customFormat="1" ht="15" customHeight="1" x14ac:dyDescent="0.2">
      <c r="A38" s="223"/>
      <c r="B38" s="381">
        <v>283</v>
      </c>
      <c r="C38" s="696">
        <v>29</v>
      </c>
      <c r="D38" s="650" t="s">
        <v>646</v>
      </c>
      <c r="E38" s="252" t="s">
        <v>57</v>
      </c>
      <c r="F38" s="580"/>
      <c r="G38" s="565"/>
      <c r="H38" s="580"/>
      <c r="I38" s="565"/>
      <c r="J38" s="580"/>
      <c r="K38" s="565"/>
      <c r="L38" s="580"/>
      <c r="M38" s="565"/>
      <c r="N38" s="580"/>
      <c r="O38" s="565"/>
      <c r="P38" s="580"/>
      <c r="Q38" s="565"/>
      <c r="R38" s="580"/>
      <c r="S38" s="565"/>
      <c r="T38" s="580"/>
      <c r="U38" s="565"/>
      <c r="V38" s="580"/>
      <c r="W38" s="565"/>
      <c r="X38" s="580"/>
      <c r="Y38" s="565"/>
      <c r="Z38" s="580"/>
      <c r="AA38" s="565"/>
      <c r="AB38" s="580"/>
      <c r="AC38" s="565"/>
      <c r="AD38" s="580"/>
      <c r="AE38" s="565"/>
      <c r="AF38" s="580"/>
      <c r="AG38" s="565"/>
      <c r="AH38" s="580"/>
      <c r="AI38" s="565"/>
      <c r="AJ38" s="580"/>
      <c r="AK38" s="565"/>
      <c r="AL38" s="580"/>
      <c r="AM38" s="565"/>
      <c r="AN38" s="580"/>
      <c r="AO38" s="565"/>
      <c r="AP38" s="580"/>
      <c r="AQ38" s="565"/>
      <c r="AR38" s="580"/>
      <c r="AS38" s="565"/>
      <c r="AT38" s="580"/>
      <c r="AU38" s="565"/>
      <c r="AV38" s="580"/>
      <c r="AW38" s="565"/>
      <c r="AY38" s="700"/>
      <c r="AZ38" s="620">
        <v>29</v>
      </c>
      <c r="BA38" s="618" t="s">
        <v>577</v>
      </c>
      <c r="BB38" s="81" t="s">
        <v>453</v>
      </c>
      <c r="BC38" s="79" t="s">
        <v>457</v>
      </c>
      <c r="BD38" s="262"/>
      <c r="BE38" s="79" t="str">
        <f t="shared" si="21"/>
        <v>N/A</v>
      </c>
      <c r="BF38" s="258"/>
      <c r="BG38" s="79" t="str">
        <f t="shared" si="19"/>
        <v>N/A</v>
      </c>
      <c r="BH38" s="79"/>
      <c r="BI38" s="79" t="str">
        <f t="shared" si="0"/>
        <v>N/A</v>
      </c>
      <c r="BJ38" s="79"/>
      <c r="BK38" s="79" t="str">
        <f t="shared" si="1"/>
        <v>N/A</v>
      </c>
      <c r="BL38" s="79"/>
      <c r="BM38" s="79" t="str">
        <f t="shared" si="2"/>
        <v>N/A</v>
      </c>
      <c r="BN38" s="79"/>
      <c r="BO38" s="79" t="str">
        <f t="shared" si="3"/>
        <v>N/A</v>
      </c>
      <c r="BP38" s="79"/>
      <c r="BQ38" s="79" t="str">
        <f t="shared" si="4"/>
        <v>N/A</v>
      </c>
      <c r="BR38" s="79"/>
      <c r="BS38" s="79" t="str">
        <f t="shared" si="5"/>
        <v>N/A</v>
      </c>
      <c r="BT38" s="79"/>
      <c r="BU38" s="79" t="str">
        <f t="shared" si="6"/>
        <v>N/A</v>
      </c>
      <c r="BV38" s="79"/>
      <c r="BW38" s="79" t="str">
        <f t="shared" si="7"/>
        <v>N/A</v>
      </c>
      <c r="BX38" s="79"/>
      <c r="BY38" s="79" t="str">
        <f t="shared" si="8"/>
        <v>N/A</v>
      </c>
      <c r="BZ38" s="79"/>
      <c r="CA38" s="79" t="str">
        <f t="shared" si="9"/>
        <v>N/A</v>
      </c>
      <c r="CB38" s="79"/>
      <c r="CC38" s="79" t="str">
        <f t="shared" si="10"/>
        <v>N/A</v>
      </c>
      <c r="CD38" s="79"/>
      <c r="CE38" s="79" t="str">
        <f t="shared" si="11"/>
        <v>N/A</v>
      </c>
      <c r="CF38" s="79"/>
      <c r="CG38" s="79" t="str">
        <f t="shared" si="12"/>
        <v>N/A</v>
      </c>
      <c r="CH38" s="79"/>
      <c r="CI38" s="79" t="str">
        <f t="shared" si="13"/>
        <v>N/A</v>
      </c>
      <c r="CJ38" s="79"/>
      <c r="CK38" s="79" t="str">
        <f t="shared" si="14"/>
        <v>N/A</v>
      </c>
      <c r="CL38" s="79"/>
      <c r="CM38" s="79" t="str">
        <f t="shared" si="15"/>
        <v>N/A</v>
      </c>
      <c r="CN38" s="79"/>
      <c r="CO38" s="79" t="str">
        <f t="shared" si="16"/>
        <v>N/A</v>
      </c>
      <c r="CP38" s="79"/>
      <c r="CQ38" s="79" t="str">
        <f t="shared" si="17"/>
        <v>N/A</v>
      </c>
      <c r="CR38" s="79"/>
      <c r="CS38" s="79" t="str">
        <f t="shared" si="18"/>
        <v>N/A</v>
      </c>
      <c r="CT38" s="7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row>
    <row r="39" spans="1:137" s="397" customFormat="1" ht="15" customHeight="1" x14ac:dyDescent="0.2">
      <c r="A39" s="223"/>
      <c r="B39" s="381">
        <v>203</v>
      </c>
      <c r="C39" s="697">
        <v>30</v>
      </c>
      <c r="D39" s="609" t="s">
        <v>564</v>
      </c>
      <c r="E39" s="252" t="s">
        <v>57</v>
      </c>
      <c r="F39" s="608"/>
      <c r="G39" s="566"/>
      <c r="H39" s="608"/>
      <c r="I39" s="566"/>
      <c r="J39" s="608"/>
      <c r="K39" s="566"/>
      <c r="L39" s="608"/>
      <c r="M39" s="566"/>
      <c r="N39" s="608"/>
      <c r="O39" s="566"/>
      <c r="P39" s="608"/>
      <c r="Q39" s="566"/>
      <c r="R39" s="608"/>
      <c r="S39" s="566"/>
      <c r="T39" s="608"/>
      <c r="U39" s="566"/>
      <c r="V39" s="608"/>
      <c r="W39" s="566"/>
      <c r="X39" s="608"/>
      <c r="Y39" s="566"/>
      <c r="Z39" s="608"/>
      <c r="AA39" s="566"/>
      <c r="AB39" s="608"/>
      <c r="AC39" s="566"/>
      <c r="AD39" s="608"/>
      <c r="AE39" s="566"/>
      <c r="AF39" s="608"/>
      <c r="AG39" s="566"/>
      <c r="AH39" s="608"/>
      <c r="AI39" s="566"/>
      <c r="AJ39" s="608"/>
      <c r="AK39" s="566"/>
      <c r="AL39" s="608"/>
      <c r="AM39" s="566"/>
      <c r="AN39" s="608"/>
      <c r="AO39" s="566"/>
      <c r="AP39" s="608"/>
      <c r="AQ39" s="566"/>
      <c r="AR39" s="608"/>
      <c r="AS39" s="566"/>
      <c r="AT39" s="608"/>
      <c r="AU39" s="566"/>
      <c r="AV39" s="608"/>
      <c r="AW39" s="566"/>
      <c r="AY39" s="700"/>
      <c r="AZ39" s="619">
        <v>30</v>
      </c>
      <c r="BA39" s="307" t="s">
        <v>573</v>
      </c>
      <c r="BB39" s="81" t="s">
        <v>453</v>
      </c>
      <c r="BC39" s="79"/>
      <c r="BD39" s="262"/>
      <c r="BE39" s="79" t="str">
        <f t="shared" si="21"/>
        <v>N/A</v>
      </c>
      <c r="BF39" s="258"/>
      <c r="BG39" s="79" t="str">
        <f t="shared" si="19"/>
        <v>N/A</v>
      </c>
      <c r="BH39" s="79"/>
      <c r="BI39" s="79" t="str">
        <f t="shared" si="0"/>
        <v>N/A</v>
      </c>
      <c r="BJ39" s="79"/>
      <c r="BK39" s="79" t="str">
        <f t="shared" si="1"/>
        <v>N/A</v>
      </c>
      <c r="BL39" s="79"/>
      <c r="BM39" s="79" t="str">
        <f t="shared" si="2"/>
        <v>N/A</v>
      </c>
      <c r="BN39" s="79"/>
      <c r="BO39" s="79" t="str">
        <f t="shared" si="3"/>
        <v>N/A</v>
      </c>
      <c r="BP39" s="79"/>
      <c r="BQ39" s="79" t="str">
        <f t="shared" si="4"/>
        <v>N/A</v>
      </c>
      <c r="BR39" s="79"/>
      <c r="BS39" s="79" t="str">
        <f t="shared" si="5"/>
        <v>N/A</v>
      </c>
      <c r="BT39" s="79"/>
      <c r="BU39" s="79" t="str">
        <f t="shared" si="6"/>
        <v>N/A</v>
      </c>
      <c r="BV39" s="79"/>
      <c r="BW39" s="79" t="str">
        <f t="shared" si="7"/>
        <v>N/A</v>
      </c>
      <c r="BX39" s="79"/>
      <c r="BY39" s="79" t="str">
        <f t="shared" si="8"/>
        <v>N/A</v>
      </c>
      <c r="BZ39" s="79"/>
      <c r="CA39" s="79" t="str">
        <f t="shared" si="9"/>
        <v>N/A</v>
      </c>
      <c r="CB39" s="79"/>
      <c r="CC39" s="79" t="str">
        <f t="shared" si="10"/>
        <v>N/A</v>
      </c>
      <c r="CD39" s="79"/>
      <c r="CE39" s="79" t="str">
        <f t="shared" si="11"/>
        <v>N/A</v>
      </c>
      <c r="CF39" s="79"/>
      <c r="CG39" s="79" t="str">
        <f t="shared" si="12"/>
        <v>N/A</v>
      </c>
      <c r="CH39" s="79"/>
      <c r="CI39" s="79" t="str">
        <f t="shared" si="13"/>
        <v>N/A</v>
      </c>
      <c r="CJ39" s="79"/>
      <c r="CK39" s="79" t="str">
        <f t="shared" si="14"/>
        <v>N/A</v>
      </c>
      <c r="CL39" s="79"/>
      <c r="CM39" s="79" t="str">
        <f t="shared" si="15"/>
        <v>N/A</v>
      </c>
      <c r="CN39" s="79"/>
      <c r="CO39" s="79" t="str">
        <f t="shared" si="16"/>
        <v>N/A</v>
      </c>
      <c r="CP39" s="79"/>
      <c r="CQ39" s="79" t="str">
        <f t="shared" si="17"/>
        <v>N/A</v>
      </c>
      <c r="CR39" s="79"/>
      <c r="CS39" s="79" t="str">
        <f t="shared" si="18"/>
        <v>N/A</v>
      </c>
      <c r="CT39" s="7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row>
    <row r="40" spans="1:137" s="397" customFormat="1" ht="15" customHeight="1" x14ac:dyDescent="0.2">
      <c r="A40" s="223"/>
      <c r="B40" s="381">
        <v>204</v>
      </c>
      <c r="C40" s="696">
        <v>31</v>
      </c>
      <c r="D40" s="651" t="s">
        <v>520</v>
      </c>
      <c r="E40" s="279" t="s">
        <v>57</v>
      </c>
      <c r="F40" s="581"/>
      <c r="G40" s="567"/>
      <c r="H40" s="581"/>
      <c r="I40" s="567"/>
      <c r="J40" s="581"/>
      <c r="K40" s="567"/>
      <c r="L40" s="581"/>
      <c r="M40" s="567"/>
      <c r="N40" s="581"/>
      <c r="O40" s="567"/>
      <c r="P40" s="581"/>
      <c r="Q40" s="567"/>
      <c r="R40" s="581"/>
      <c r="S40" s="567"/>
      <c r="T40" s="581"/>
      <c r="U40" s="567"/>
      <c r="V40" s="581"/>
      <c r="W40" s="567"/>
      <c r="X40" s="581"/>
      <c r="Y40" s="567"/>
      <c r="Z40" s="581"/>
      <c r="AA40" s="567"/>
      <c r="AB40" s="581"/>
      <c r="AC40" s="567"/>
      <c r="AD40" s="581"/>
      <c r="AE40" s="567"/>
      <c r="AF40" s="581"/>
      <c r="AG40" s="567"/>
      <c r="AH40" s="581"/>
      <c r="AI40" s="567"/>
      <c r="AJ40" s="581"/>
      <c r="AK40" s="567"/>
      <c r="AL40" s="581"/>
      <c r="AM40" s="567"/>
      <c r="AN40" s="581"/>
      <c r="AO40" s="567"/>
      <c r="AP40" s="581"/>
      <c r="AQ40" s="567"/>
      <c r="AR40" s="581"/>
      <c r="AS40" s="567"/>
      <c r="AT40" s="581"/>
      <c r="AU40" s="567"/>
      <c r="AV40" s="581"/>
      <c r="AW40" s="567"/>
      <c r="AY40" s="700"/>
      <c r="AZ40" s="620">
        <v>31</v>
      </c>
      <c r="BA40" s="261" t="s">
        <v>273</v>
      </c>
      <c r="BB40" s="81" t="s">
        <v>453</v>
      </c>
      <c r="BC40" s="79" t="s">
        <v>457</v>
      </c>
      <c r="BD40" s="262"/>
      <c r="BE40" s="79" t="str">
        <f t="shared" si="21"/>
        <v>N/A</v>
      </c>
      <c r="BF40" s="258"/>
      <c r="BG40" s="79" t="str">
        <f t="shared" si="19"/>
        <v>N/A</v>
      </c>
      <c r="BH40" s="79"/>
      <c r="BI40" s="79" t="str">
        <f t="shared" si="0"/>
        <v>N/A</v>
      </c>
      <c r="BJ40" s="79"/>
      <c r="BK40" s="79" t="str">
        <f t="shared" si="1"/>
        <v>N/A</v>
      </c>
      <c r="BL40" s="79"/>
      <c r="BM40" s="79" t="str">
        <f t="shared" si="2"/>
        <v>N/A</v>
      </c>
      <c r="BN40" s="79"/>
      <c r="BO40" s="79" t="str">
        <f t="shared" si="3"/>
        <v>N/A</v>
      </c>
      <c r="BP40" s="79"/>
      <c r="BQ40" s="79" t="str">
        <f t="shared" si="4"/>
        <v>N/A</v>
      </c>
      <c r="BR40" s="79"/>
      <c r="BS40" s="79" t="str">
        <f t="shared" si="5"/>
        <v>N/A</v>
      </c>
      <c r="BT40" s="79"/>
      <c r="BU40" s="79" t="str">
        <f t="shared" si="6"/>
        <v>N/A</v>
      </c>
      <c r="BV40" s="79"/>
      <c r="BW40" s="79" t="str">
        <f t="shared" si="7"/>
        <v>N/A</v>
      </c>
      <c r="BX40" s="79"/>
      <c r="BY40" s="79" t="str">
        <f t="shared" si="8"/>
        <v>N/A</v>
      </c>
      <c r="BZ40" s="79"/>
      <c r="CA40" s="79" t="str">
        <f t="shared" si="9"/>
        <v>N/A</v>
      </c>
      <c r="CB40" s="79"/>
      <c r="CC40" s="79" t="str">
        <f t="shared" si="10"/>
        <v>N/A</v>
      </c>
      <c r="CD40" s="79"/>
      <c r="CE40" s="79" t="str">
        <f t="shared" si="11"/>
        <v>N/A</v>
      </c>
      <c r="CF40" s="79"/>
      <c r="CG40" s="79" t="str">
        <f t="shared" si="12"/>
        <v>N/A</v>
      </c>
      <c r="CH40" s="79"/>
      <c r="CI40" s="79" t="str">
        <f t="shared" si="13"/>
        <v>N/A</v>
      </c>
      <c r="CJ40" s="79"/>
      <c r="CK40" s="79" t="str">
        <f t="shared" si="14"/>
        <v>N/A</v>
      </c>
      <c r="CL40" s="79"/>
      <c r="CM40" s="79" t="str">
        <f t="shared" si="15"/>
        <v>N/A</v>
      </c>
      <c r="CN40" s="79"/>
      <c r="CO40" s="79" t="str">
        <f t="shared" si="16"/>
        <v>N/A</v>
      </c>
      <c r="CP40" s="79"/>
      <c r="CQ40" s="79" t="str">
        <f t="shared" si="17"/>
        <v>N/A</v>
      </c>
      <c r="CR40" s="79"/>
      <c r="CS40" s="79" t="str">
        <f t="shared" si="18"/>
        <v>N/A</v>
      </c>
      <c r="CT40" s="7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row>
    <row r="41" spans="1:137" ht="14.1" customHeight="1" x14ac:dyDescent="0.2">
      <c r="C41" s="372" t="s">
        <v>480</v>
      </c>
      <c r="D41" s="285"/>
      <c r="E41" s="406"/>
      <c r="F41" s="407"/>
      <c r="AZ41" s="379" t="s">
        <v>559</v>
      </c>
      <c r="BA41" s="474"/>
      <c r="BB41" s="474"/>
      <c r="BC41" s="474"/>
      <c r="BD41" s="474"/>
      <c r="BE41" s="474"/>
      <c r="BF41" s="474"/>
      <c r="BG41" s="474"/>
      <c r="BH41" s="474"/>
      <c r="BI41" s="474"/>
      <c r="BJ41" s="474"/>
      <c r="BK41" s="474"/>
      <c r="BL41" s="474"/>
      <c r="BM41" s="474"/>
      <c r="BN41" s="474"/>
      <c r="BO41" s="474"/>
      <c r="BP41" s="474"/>
      <c r="BQ41" s="474"/>
      <c r="BR41" s="474"/>
      <c r="BS41" s="474"/>
      <c r="BT41" s="474"/>
      <c r="BU41" s="474"/>
      <c r="BV41" s="474"/>
      <c r="BW41" s="474"/>
      <c r="BX41" s="474"/>
      <c r="BY41" s="474"/>
      <c r="BZ41" s="474"/>
      <c r="CA41" s="474"/>
      <c r="CB41" s="474"/>
      <c r="CC41" s="474"/>
      <c r="CD41" s="474"/>
      <c r="CE41" s="474"/>
      <c r="CF41" s="474"/>
      <c r="CG41" s="474"/>
      <c r="CH41" s="474"/>
      <c r="CI41" s="474"/>
      <c r="CJ41" s="474"/>
      <c r="CK41" s="474"/>
      <c r="CL41" s="474"/>
      <c r="CM41" s="474"/>
      <c r="CN41" s="474"/>
      <c r="CO41" s="474"/>
      <c r="CP41" s="474"/>
      <c r="CQ41" s="474"/>
      <c r="CR41" s="474"/>
      <c r="CS41" s="474"/>
      <c r="CT41" s="474"/>
    </row>
    <row r="42" spans="1:137" ht="14.1" customHeight="1" x14ac:dyDescent="0.2">
      <c r="C42" s="292" t="s">
        <v>474</v>
      </c>
      <c r="D42" s="783" t="s">
        <v>123</v>
      </c>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783"/>
      <c r="AZ42" s="244" t="s">
        <v>195</v>
      </c>
      <c r="BA42" s="244" t="s">
        <v>196</v>
      </c>
      <c r="BB42" s="244" t="s">
        <v>197</v>
      </c>
      <c r="BC42" s="571">
        <v>1990</v>
      </c>
      <c r="BD42" s="572"/>
      <c r="BE42" s="571">
        <v>1995</v>
      </c>
      <c r="BF42" s="572"/>
      <c r="BG42" s="571">
        <v>2000</v>
      </c>
      <c r="BH42" s="572"/>
      <c r="BI42" s="571">
        <v>2001</v>
      </c>
      <c r="BJ42" s="572"/>
      <c r="BK42" s="571">
        <v>2002</v>
      </c>
      <c r="BL42" s="572"/>
      <c r="BM42" s="571">
        <v>2003</v>
      </c>
      <c r="BN42" s="572"/>
      <c r="BO42" s="571">
        <v>2004</v>
      </c>
      <c r="BP42" s="572"/>
      <c r="BQ42" s="571">
        <v>2005</v>
      </c>
      <c r="BR42" s="572"/>
      <c r="BS42" s="571">
        <v>2006</v>
      </c>
      <c r="BT42" s="572"/>
      <c r="BU42" s="571">
        <v>2007</v>
      </c>
      <c r="BV42" s="572"/>
      <c r="BW42" s="571">
        <v>2008</v>
      </c>
      <c r="BX42" s="572"/>
      <c r="BY42" s="571">
        <v>2009</v>
      </c>
      <c r="BZ42" s="572"/>
      <c r="CA42" s="571">
        <v>2010</v>
      </c>
      <c r="CB42" s="572"/>
      <c r="CC42" s="571">
        <v>2011</v>
      </c>
      <c r="CD42" s="575"/>
      <c r="CE42" s="571">
        <v>2012</v>
      </c>
      <c r="CF42" s="572"/>
      <c r="CG42" s="571">
        <v>2013</v>
      </c>
      <c r="CH42" s="572"/>
      <c r="CI42" s="571">
        <v>2014</v>
      </c>
      <c r="CJ42" s="575"/>
      <c r="CK42" s="571">
        <v>2015</v>
      </c>
      <c r="CL42" s="572"/>
      <c r="CM42" s="571">
        <v>2016</v>
      </c>
      <c r="CN42" s="572"/>
      <c r="CO42" s="571">
        <v>2017</v>
      </c>
      <c r="CP42" s="572"/>
      <c r="CQ42" s="571">
        <v>2018</v>
      </c>
      <c r="CR42" s="575"/>
      <c r="CS42" s="571">
        <v>2019</v>
      </c>
      <c r="CT42" s="572"/>
    </row>
    <row r="43" spans="1:137" ht="14.1" customHeight="1" x14ac:dyDescent="0.2">
      <c r="C43" s="292" t="s">
        <v>474</v>
      </c>
      <c r="D43" s="783" t="s">
        <v>124</v>
      </c>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783"/>
      <c r="AI43" s="783"/>
      <c r="AJ43" s="783"/>
      <c r="AK43" s="783"/>
      <c r="AL43" s="783"/>
      <c r="AM43" s="783"/>
      <c r="AN43" s="783"/>
      <c r="AO43" s="783"/>
      <c r="AP43" s="783"/>
      <c r="AQ43" s="783"/>
      <c r="AR43" s="783"/>
      <c r="AS43" s="783"/>
      <c r="AT43" s="783"/>
      <c r="AU43" s="783"/>
      <c r="AV43" s="783"/>
      <c r="AW43" s="783"/>
      <c r="AX43" s="783"/>
      <c r="AZ43" s="393"/>
      <c r="BA43" s="408" t="s">
        <v>411</v>
      </c>
      <c r="BB43" s="393"/>
      <c r="BC43" s="82"/>
      <c r="BD43" s="262"/>
      <c r="BE43" s="82"/>
      <c r="BF43" s="262"/>
      <c r="BG43" s="82"/>
      <c r="BH43" s="262"/>
      <c r="BI43" s="82"/>
      <c r="BJ43" s="262"/>
      <c r="BK43" s="81"/>
      <c r="BL43" s="262"/>
      <c r="BM43" s="81"/>
      <c r="BN43" s="262"/>
      <c r="BO43" s="81"/>
      <c r="BP43" s="262"/>
      <c r="BQ43" s="81"/>
      <c r="BR43" s="262"/>
      <c r="BS43" s="81"/>
      <c r="BT43" s="262"/>
      <c r="BU43" s="81"/>
      <c r="BV43" s="262"/>
      <c r="BW43" s="82"/>
      <c r="BX43" s="262"/>
      <c r="BY43" s="81"/>
      <c r="BZ43" s="262"/>
      <c r="CA43" s="81"/>
      <c r="CB43" s="262"/>
      <c r="CC43" s="81"/>
      <c r="CD43" s="262"/>
      <c r="CE43" s="81"/>
      <c r="CF43" s="262"/>
      <c r="CG43" s="81"/>
      <c r="CH43" s="262"/>
      <c r="CI43" s="81"/>
      <c r="CJ43" s="262"/>
      <c r="CK43" s="81"/>
      <c r="CL43" s="262"/>
      <c r="CM43" s="81"/>
      <c r="CN43" s="262"/>
      <c r="CO43" s="81"/>
      <c r="CP43" s="262"/>
      <c r="CQ43" s="81"/>
      <c r="CR43" s="262"/>
      <c r="CS43" s="81"/>
      <c r="CT43" s="262"/>
    </row>
    <row r="44" spans="1:137" ht="14.1" customHeight="1" x14ac:dyDescent="0.2">
      <c r="C44" s="292" t="s">
        <v>474</v>
      </c>
      <c r="D44" s="783" t="s">
        <v>673</v>
      </c>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783"/>
      <c r="AH44" s="783"/>
      <c r="AI44" s="783"/>
      <c r="AJ44" s="783"/>
      <c r="AK44" s="783"/>
      <c r="AL44" s="783"/>
      <c r="AM44" s="783"/>
      <c r="AN44" s="783"/>
      <c r="AO44" s="783"/>
      <c r="AP44" s="783"/>
      <c r="AQ44" s="783"/>
      <c r="AR44" s="783"/>
      <c r="AS44" s="783"/>
      <c r="AT44" s="783"/>
      <c r="AU44" s="783"/>
      <c r="AV44" s="783"/>
      <c r="AW44" s="783"/>
      <c r="AX44" s="783"/>
      <c r="AZ44" s="410"/>
      <c r="BA44" s="662"/>
      <c r="BB44" s="410"/>
      <c r="BC44" s="79"/>
      <c r="BD44" s="258"/>
      <c r="BE44" s="79"/>
      <c r="BF44" s="258"/>
      <c r="BG44" s="79"/>
      <c r="BH44" s="258"/>
      <c r="BI44" s="79"/>
      <c r="BJ44" s="258"/>
      <c r="BK44" s="98"/>
      <c r="BL44" s="258"/>
      <c r="BM44" s="98"/>
      <c r="BN44" s="258"/>
      <c r="BO44" s="98"/>
      <c r="BP44" s="258"/>
      <c r="BQ44" s="98"/>
      <c r="BR44" s="258"/>
      <c r="BS44" s="98"/>
      <c r="BT44" s="258"/>
      <c r="BU44" s="98"/>
      <c r="BV44" s="258"/>
      <c r="BW44" s="79"/>
      <c r="BX44" s="258"/>
      <c r="BY44" s="98"/>
      <c r="BZ44" s="258"/>
      <c r="CA44" s="98"/>
      <c r="CB44" s="258"/>
      <c r="CC44" s="98"/>
      <c r="CD44" s="258"/>
      <c r="CE44" s="98"/>
      <c r="CF44" s="258"/>
      <c r="CG44" s="98"/>
      <c r="CH44" s="258"/>
      <c r="CI44" s="98"/>
      <c r="CJ44" s="258"/>
      <c r="CK44" s="98"/>
      <c r="CL44" s="258"/>
      <c r="CM44" s="98"/>
      <c r="CN44" s="258"/>
      <c r="CO44" s="98"/>
      <c r="CP44" s="258"/>
      <c r="CQ44" s="98"/>
      <c r="CR44" s="258"/>
      <c r="CS44" s="98"/>
      <c r="CT44" s="258"/>
    </row>
    <row r="45" spans="1:137" ht="14.1" customHeight="1" x14ac:dyDescent="0.2">
      <c r="C45" s="292" t="s">
        <v>474</v>
      </c>
      <c r="D45" s="783" t="s">
        <v>672</v>
      </c>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783"/>
      <c r="AF45" s="783"/>
      <c r="AG45" s="783"/>
      <c r="AH45" s="783"/>
      <c r="AI45" s="783"/>
      <c r="AJ45" s="783"/>
      <c r="AK45" s="783"/>
      <c r="AL45" s="783"/>
      <c r="AM45" s="783"/>
      <c r="AN45" s="783"/>
      <c r="AO45" s="783"/>
      <c r="AP45" s="783"/>
      <c r="AQ45" s="783"/>
      <c r="AR45" s="783"/>
      <c r="AS45" s="783"/>
      <c r="AT45" s="783"/>
      <c r="AU45" s="783"/>
      <c r="AV45" s="783"/>
      <c r="AW45" s="783"/>
      <c r="AX45" s="783"/>
      <c r="AZ45" s="410"/>
      <c r="BA45" s="662"/>
      <c r="BB45" s="410"/>
      <c r="BC45" s="79"/>
      <c r="BD45" s="258"/>
      <c r="BE45" s="79"/>
      <c r="BF45" s="258"/>
      <c r="BG45" s="79"/>
      <c r="BH45" s="258"/>
      <c r="BI45" s="79"/>
      <c r="BJ45" s="258"/>
      <c r="BK45" s="98"/>
      <c r="BL45" s="258"/>
      <c r="BM45" s="98"/>
      <c r="BN45" s="258"/>
      <c r="BO45" s="98"/>
      <c r="BP45" s="258"/>
      <c r="BQ45" s="98"/>
      <c r="BR45" s="258"/>
      <c r="BS45" s="98"/>
      <c r="BT45" s="258"/>
      <c r="BU45" s="98"/>
      <c r="BV45" s="258"/>
      <c r="BW45" s="79"/>
      <c r="BX45" s="258"/>
      <c r="BY45" s="98"/>
      <c r="BZ45" s="258"/>
      <c r="CA45" s="98"/>
      <c r="CB45" s="258"/>
      <c r="CC45" s="98"/>
      <c r="CD45" s="258"/>
      <c r="CE45" s="98"/>
      <c r="CF45" s="258"/>
      <c r="CG45" s="98"/>
      <c r="CH45" s="258"/>
      <c r="CI45" s="98"/>
      <c r="CJ45" s="258"/>
      <c r="CK45" s="98"/>
      <c r="CL45" s="258"/>
      <c r="CM45" s="98"/>
      <c r="CN45" s="258"/>
      <c r="CO45" s="98"/>
      <c r="CP45" s="258"/>
      <c r="CQ45" s="98"/>
      <c r="CR45" s="258"/>
      <c r="CS45" s="98"/>
      <c r="CT45" s="258"/>
    </row>
    <row r="46" spans="1:137" s="204" customFormat="1" ht="15" customHeight="1" x14ac:dyDescent="0.2">
      <c r="A46" s="294"/>
      <c r="B46" s="294"/>
      <c r="C46" s="292" t="s">
        <v>474</v>
      </c>
      <c r="D46" s="785" t="s">
        <v>514</v>
      </c>
      <c r="E46" s="785"/>
      <c r="F46" s="785"/>
      <c r="G46" s="785"/>
      <c r="H46" s="785"/>
      <c r="I46" s="785"/>
      <c r="J46" s="785"/>
      <c r="K46" s="785"/>
      <c r="L46" s="785"/>
      <c r="M46" s="785"/>
      <c r="N46" s="785"/>
      <c r="O46" s="785"/>
      <c r="P46" s="785"/>
      <c r="Q46" s="785"/>
      <c r="R46" s="785"/>
      <c r="S46" s="785"/>
      <c r="T46" s="785"/>
      <c r="U46" s="785"/>
      <c r="V46" s="785"/>
      <c r="W46" s="785"/>
      <c r="X46" s="785"/>
      <c r="Y46" s="785"/>
      <c r="Z46" s="785"/>
      <c r="AA46" s="785"/>
      <c r="AB46" s="785"/>
      <c r="AC46" s="785"/>
      <c r="AD46" s="785"/>
      <c r="AE46" s="785"/>
      <c r="AF46" s="785"/>
      <c r="AG46" s="785"/>
      <c r="AH46" s="785"/>
      <c r="AI46" s="785"/>
      <c r="AJ46" s="785"/>
      <c r="AK46" s="785"/>
      <c r="AL46" s="785"/>
      <c r="AM46" s="785"/>
      <c r="AN46" s="785"/>
      <c r="AO46" s="785"/>
      <c r="AP46" s="785"/>
      <c r="AQ46" s="785"/>
      <c r="AR46" s="785"/>
      <c r="AS46" s="785"/>
      <c r="AT46" s="785"/>
      <c r="AU46" s="785"/>
      <c r="AV46" s="785"/>
      <c r="AW46" s="785"/>
      <c r="AX46" s="785"/>
      <c r="AY46" s="409"/>
      <c r="AZ46" s="610">
        <v>3</v>
      </c>
      <c r="BA46" s="663" t="s">
        <v>684</v>
      </c>
      <c r="BB46" s="98" t="s">
        <v>453</v>
      </c>
      <c r="BC46" s="79">
        <f>F10</f>
        <v>0</v>
      </c>
      <c r="BD46" s="79"/>
      <c r="BE46" s="79">
        <f>H10</f>
        <v>0</v>
      </c>
      <c r="BF46" s="79"/>
      <c r="BG46" s="79">
        <f>J10</f>
        <v>0</v>
      </c>
      <c r="BH46" s="79"/>
      <c r="BI46" s="79">
        <f>L10</f>
        <v>0</v>
      </c>
      <c r="BJ46" s="79"/>
      <c r="BK46" s="79">
        <f>N10</f>
        <v>0</v>
      </c>
      <c r="BL46" s="79"/>
      <c r="BM46" s="79">
        <f>P10</f>
        <v>0</v>
      </c>
      <c r="BN46" s="79"/>
      <c r="BO46" s="79">
        <f>R10</f>
        <v>0</v>
      </c>
      <c r="BP46" s="79"/>
      <c r="BQ46" s="79">
        <f>T10</f>
        <v>0</v>
      </c>
      <c r="BR46" s="79"/>
      <c r="BS46" s="79">
        <f>V10</f>
        <v>0</v>
      </c>
      <c r="BT46" s="79"/>
      <c r="BU46" s="79">
        <f>X10</f>
        <v>0</v>
      </c>
      <c r="BV46" s="79"/>
      <c r="BW46" s="79">
        <f>Z10</f>
        <v>0</v>
      </c>
      <c r="BX46" s="79"/>
      <c r="BY46" s="79">
        <f>AB10</f>
        <v>373724.125</v>
      </c>
      <c r="BZ46" s="79"/>
      <c r="CA46" s="79">
        <f>AD10</f>
        <v>364708.90625</v>
      </c>
      <c r="CB46" s="79"/>
      <c r="CC46" s="79">
        <f>AF10</f>
        <v>366061.09375</v>
      </c>
      <c r="CD46" s="79"/>
      <c r="CE46" s="79">
        <f>AH10</f>
        <v>364655.1875</v>
      </c>
      <c r="CF46" s="79"/>
      <c r="CG46" s="79">
        <f>AJ10</f>
        <v>362964</v>
      </c>
      <c r="CH46" s="79"/>
      <c r="CI46" s="79">
        <f>AL10</f>
        <v>0</v>
      </c>
      <c r="CJ46" s="79"/>
      <c r="CK46" s="79">
        <f>AN10</f>
        <v>0</v>
      </c>
      <c r="CL46" s="79"/>
      <c r="CM46" s="79">
        <f>AP10</f>
        <v>0</v>
      </c>
      <c r="CN46" s="79"/>
      <c r="CO46" s="79">
        <f>AR10</f>
        <v>0</v>
      </c>
      <c r="CP46" s="79"/>
      <c r="CQ46" s="79">
        <f>AT10</f>
        <v>0</v>
      </c>
      <c r="CR46" s="79"/>
      <c r="CS46" s="79">
        <f>AV10</f>
        <v>0</v>
      </c>
      <c r="CT46" s="79"/>
      <c r="CU46" s="411"/>
      <c r="CV46" s="411"/>
      <c r="CW46" s="411"/>
      <c r="CX46" s="411"/>
      <c r="CY46" s="411"/>
      <c r="CZ46" s="411"/>
      <c r="DA46" s="411"/>
      <c r="DB46" s="411"/>
      <c r="DC46" s="411"/>
      <c r="DD46" s="411"/>
      <c r="DE46" s="411"/>
      <c r="DF46" s="411"/>
      <c r="DG46" s="411"/>
      <c r="DH46" s="411"/>
      <c r="DI46" s="411"/>
      <c r="DJ46" s="411"/>
      <c r="DK46" s="411"/>
      <c r="DL46" s="411"/>
      <c r="DM46" s="411"/>
      <c r="DN46" s="411"/>
      <c r="DO46" s="411"/>
      <c r="DP46" s="411"/>
      <c r="DQ46" s="411"/>
      <c r="DR46" s="411"/>
      <c r="DS46" s="411"/>
      <c r="DT46" s="411"/>
      <c r="DU46" s="411"/>
      <c r="DV46" s="411"/>
      <c r="DW46" s="411"/>
      <c r="DX46" s="411"/>
      <c r="DY46" s="411"/>
      <c r="DZ46" s="411"/>
      <c r="EA46" s="411"/>
      <c r="EB46" s="411"/>
      <c r="EC46" s="411"/>
      <c r="ED46" s="411"/>
      <c r="EE46" s="411"/>
      <c r="EF46" s="411"/>
      <c r="EG46" s="411"/>
    </row>
    <row r="47" spans="1:137" s="204" customFormat="1" ht="27" customHeight="1" x14ac:dyDescent="0.2">
      <c r="A47" s="294"/>
      <c r="B47" s="294"/>
      <c r="C47" s="292" t="s">
        <v>474</v>
      </c>
      <c r="D47" s="783" t="s">
        <v>118</v>
      </c>
      <c r="E47" s="783"/>
      <c r="F47" s="783"/>
      <c r="G47" s="783"/>
      <c r="H47" s="783"/>
      <c r="I47" s="783"/>
      <c r="J47" s="783"/>
      <c r="K47" s="783"/>
      <c r="L47" s="783"/>
      <c r="M47" s="783"/>
      <c r="N47" s="783"/>
      <c r="O47" s="783"/>
      <c r="P47" s="783"/>
      <c r="Q47" s="783"/>
      <c r="R47" s="783"/>
      <c r="S47" s="783"/>
      <c r="T47" s="783"/>
      <c r="U47" s="783"/>
      <c r="V47" s="783"/>
      <c r="W47" s="783"/>
      <c r="X47" s="783"/>
      <c r="Y47" s="783"/>
      <c r="Z47" s="783"/>
      <c r="AA47" s="783"/>
      <c r="AB47" s="783"/>
      <c r="AC47" s="783"/>
      <c r="AD47" s="783"/>
      <c r="AE47" s="783"/>
      <c r="AF47" s="783"/>
      <c r="AG47" s="783"/>
      <c r="AH47" s="783"/>
      <c r="AI47" s="783"/>
      <c r="AJ47" s="783"/>
      <c r="AK47" s="783"/>
      <c r="AL47" s="783"/>
      <c r="AM47" s="783"/>
      <c r="AN47" s="783"/>
      <c r="AO47" s="783"/>
      <c r="AP47" s="783"/>
      <c r="AQ47" s="783"/>
      <c r="AR47" s="783"/>
      <c r="AS47" s="783"/>
      <c r="AT47" s="783"/>
      <c r="AU47" s="783"/>
      <c r="AV47" s="783"/>
      <c r="AW47" s="783"/>
      <c r="AX47" s="783"/>
      <c r="AY47" s="409"/>
      <c r="AZ47" s="664">
        <v>32</v>
      </c>
      <c r="BA47" s="665" t="s">
        <v>174</v>
      </c>
      <c r="BB47" s="98" t="s">
        <v>453</v>
      </c>
      <c r="BC47" s="82">
        <f>F8+F9</f>
        <v>0</v>
      </c>
      <c r="BD47" s="82"/>
      <c r="BE47" s="82">
        <f>H8+H9</f>
        <v>0</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0</v>
      </c>
      <c r="CF47" s="82"/>
      <c r="CG47" s="82">
        <f>AJ8+AJ9</f>
        <v>0</v>
      </c>
      <c r="CH47" s="82"/>
      <c r="CI47" s="82">
        <f>AL8+AL9</f>
        <v>0</v>
      </c>
      <c r="CJ47" s="82"/>
      <c r="CK47" s="82">
        <f>AN8+AN9</f>
        <v>0</v>
      </c>
      <c r="CL47" s="82"/>
      <c r="CM47" s="82">
        <f>AP8+AP9</f>
        <v>0</v>
      </c>
      <c r="CN47" s="82"/>
      <c r="CO47" s="82">
        <f>AR8+AR9</f>
        <v>0</v>
      </c>
      <c r="CP47" s="82"/>
      <c r="CQ47" s="82">
        <f>AT8+AT9</f>
        <v>0</v>
      </c>
      <c r="CR47" s="82"/>
      <c r="CS47" s="82">
        <f>AV8+AV9</f>
        <v>0</v>
      </c>
      <c r="CT47" s="82"/>
      <c r="CU47" s="411"/>
      <c r="CV47" s="411"/>
      <c r="CW47" s="411"/>
      <c r="CX47" s="411"/>
      <c r="CY47" s="411"/>
      <c r="CZ47" s="411"/>
      <c r="DA47" s="411"/>
      <c r="DB47" s="411"/>
      <c r="DC47" s="411"/>
      <c r="DD47" s="411"/>
      <c r="DE47" s="411"/>
      <c r="DF47" s="411"/>
      <c r="DG47" s="411"/>
      <c r="DH47" s="411"/>
      <c r="DI47" s="411"/>
      <c r="DJ47" s="411"/>
      <c r="DK47" s="411"/>
      <c r="DL47" s="411"/>
      <c r="DM47" s="411"/>
      <c r="DN47" s="411"/>
      <c r="DO47" s="411"/>
      <c r="DP47" s="411"/>
      <c r="DQ47" s="411"/>
      <c r="DR47" s="411"/>
      <c r="DS47" s="411"/>
      <c r="DT47" s="411"/>
      <c r="DU47" s="411"/>
      <c r="DV47" s="411"/>
      <c r="DW47" s="411"/>
      <c r="DX47" s="411"/>
      <c r="DY47" s="411"/>
      <c r="DZ47" s="411"/>
      <c r="EA47" s="411"/>
      <c r="EB47" s="411"/>
      <c r="EC47" s="411"/>
      <c r="ED47" s="411"/>
      <c r="EE47" s="411"/>
      <c r="EF47" s="411"/>
      <c r="EG47" s="411"/>
    </row>
    <row r="48" spans="1:137" s="204" customFormat="1" ht="18.95" customHeight="1" x14ac:dyDescent="0.2">
      <c r="A48" s="294"/>
      <c r="B48" s="294"/>
      <c r="C48" s="292"/>
      <c r="D48" s="786"/>
      <c r="E48" s="785"/>
      <c r="F48" s="785"/>
      <c r="G48" s="785"/>
      <c r="H48" s="785"/>
      <c r="I48" s="785"/>
      <c r="J48" s="785"/>
      <c r="K48" s="785"/>
      <c r="L48" s="785"/>
      <c r="M48" s="785"/>
      <c r="N48" s="785"/>
      <c r="O48" s="785"/>
      <c r="P48" s="785"/>
      <c r="Q48" s="785"/>
      <c r="R48" s="785"/>
      <c r="S48" s="785"/>
      <c r="T48" s="785"/>
      <c r="U48" s="785"/>
      <c r="V48" s="785"/>
      <c r="W48" s="785"/>
      <c r="X48" s="785"/>
      <c r="Y48" s="785"/>
      <c r="Z48" s="785"/>
      <c r="AA48" s="785"/>
      <c r="AB48" s="785"/>
      <c r="AC48" s="785"/>
      <c r="AD48" s="785"/>
      <c r="AE48" s="785"/>
      <c r="AF48" s="785"/>
      <c r="AG48" s="785"/>
      <c r="AH48" s="785"/>
      <c r="AI48" s="785"/>
      <c r="AJ48" s="785"/>
      <c r="AK48" s="785"/>
      <c r="AL48" s="785"/>
      <c r="AM48" s="785"/>
      <c r="AN48" s="785"/>
      <c r="AO48" s="785"/>
      <c r="AP48" s="785"/>
      <c r="AQ48" s="785"/>
      <c r="AR48" s="785"/>
      <c r="AS48" s="785"/>
      <c r="AT48" s="785"/>
      <c r="AU48" s="785"/>
      <c r="AV48" s="785"/>
      <c r="AW48" s="785"/>
      <c r="AX48" s="785"/>
      <c r="AY48" s="409"/>
      <c r="AZ48" s="666" t="s">
        <v>136</v>
      </c>
      <c r="BA48" s="665" t="s">
        <v>676</v>
      </c>
      <c r="BB48" s="98"/>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N/A</v>
      </c>
      <c r="CF48" s="79"/>
      <c r="CG48" s="79" t="str">
        <f>IF(OR(ISBLANK(AJ8),ISBLANK(AJ9),ISBLANK(AJ10)),"N/A",IF((CG46=CG47),"ok","&lt;&gt;"))</f>
        <v>N/A</v>
      </c>
      <c r="CH48" s="79"/>
      <c r="CI48" s="79" t="str">
        <f>IF(OR(ISBLANK(AL8),ISBLANK(AL9),ISBLANK(AL10)),"N/A",IF((CI46=CI47),"ok","&lt;&gt;"))</f>
        <v>N/A</v>
      </c>
      <c r="CJ48" s="79"/>
      <c r="CK48" s="79" t="str">
        <f>IF(OR(ISBLANK(AN8),ISBLANK(AN9),ISBLANK(AN10)),"N/A",IF((CK46=CK47),"ok","&lt;&gt;"))</f>
        <v>N/A</v>
      </c>
      <c r="CL48" s="79"/>
      <c r="CM48" s="79" t="str">
        <f>IF(OR(ISBLANK(AP8),ISBLANK(AP9),ISBLANK(AP10)),"N/A",IF((CM46=CM47),"ok","&lt;&gt;"))</f>
        <v>N/A</v>
      </c>
      <c r="CN48" s="79"/>
      <c r="CO48" s="79" t="str">
        <f>IF(OR(ISBLANK(AR8),ISBLANK(AR9),ISBLANK(AR10)),"N/A",IF((CO46=CO47),"ok","&lt;&gt;"))</f>
        <v>N/A</v>
      </c>
      <c r="CP48" s="79"/>
      <c r="CQ48" s="79" t="str">
        <f>IF(OR(ISBLANK(AT8),ISBLANK(AT9),ISBLANK(AT10)),"N/A",IF((CQ46=CQ47),"ok","&lt;&gt;"))</f>
        <v>N/A</v>
      </c>
      <c r="CR48" s="79"/>
      <c r="CS48" s="79" t="str">
        <f>IF(OR(ISBLANK(AV8),ISBLANK(AV9),ISBLANK(AV10)),"N/A",IF((CS46=CS47),"ok","&lt;&gt;"))</f>
        <v>N/A</v>
      </c>
      <c r="CT48" s="79"/>
      <c r="CU48" s="411"/>
      <c r="CV48" s="411"/>
      <c r="CW48" s="411"/>
      <c r="CX48" s="411"/>
      <c r="CY48" s="411"/>
      <c r="CZ48" s="411"/>
      <c r="DA48" s="411"/>
      <c r="DB48" s="411"/>
      <c r="DC48" s="411"/>
      <c r="DD48" s="411"/>
      <c r="DE48" s="411"/>
      <c r="DF48" s="411"/>
      <c r="DG48" s="411"/>
      <c r="DH48" s="411"/>
      <c r="DI48" s="411"/>
      <c r="DJ48" s="411"/>
      <c r="DK48" s="411"/>
      <c r="DL48" s="411"/>
      <c r="DM48" s="411"/>
      <c r="DN48" s="411"/>
      <c r="DO48" s="411"/>
      <c r="DP48" s="411"/>
      <c r="DQ48" s="411"/>
      <c r="DR48" s="411"/>
      <c r="DS48" s="411"/>
      <c r="DT48" s="411"/>
      <c r="DU48" s="411"/>
      <c r="DV48" s="411"/>
      <c r="DW48" s="411"/>
      <c r="DX48" s="411"/>
      <c r="DY48" s="411"/>
      <c r="DZ48" s="411"/>
      <c r="EA48" s="411"/>
      <c r="EB48" s="411"/>
      <c r="EC48" s="411"/>
      <c r="ED48" s="411"/>
      <c r="EE48" s="411"/>
      <c r="EF48" s="411"/>
      <c r="EG48" s="411"/>
    </row>
    <row r="49" spans="1:137" s="204" customFormat="1" ht="27.95" customHeight="1" x14ac:dyDescent="0.2">
      <c r="A49" s="294"/>
      <c r="B49" s="294"/>
      <c r="C49" s="292"/>
      <c r="D49" s="656" t="str">
        <f>LEFT(D10,LEN(D10)-7)&amp;" (W2,3)"</f>
        <v>Extracción bruta de agua dulce (W2,3)</v>
      </c>
      <c r="E49" s="657"/>
      <c r="F49" s="840"/>
      <c r="G49" s="840"/>
      <c r="H49" s="840"/>
      <c r="I49" s="840"/>
      <c r="J49" s="840"/>
      <c r="K49" s="840"/>
      <c r="L49" s="840"/>
      <c r="M49" s="658"/>
      <c r="N49" s="658"/>
      <c r="O49" s="658"/>
      <c r="P49" s="658"/>
      <c r="Q49" s="658"/>
      <c r="R49" s="65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409"/>
      <c r="AZ49" s="612">
        <v>20</v>
      </c>
      <c r="BA49" s="667" t="s">
        <v>674</v>
      </c>
      <c r="BB49" s="98" t="s">
        <v>453</v>
      </c>
      <c r="BC49" s="82">
        <f>F28</f>
        <v>0</v>
      </c>
      <c r="BD49" s="82"/>
      <c r="BE49" s="82">
        <f>H28</f>
        <v>0</v>
      </c>
      <c r="BF49" s="82"/>
      <c r="BG49" s="82">
        <f>J28</f>
        <v>0</v>
      </c>
      <c r="BH49" s="82"/>
      <c r="BI49" s="82">
        <f>L28</f>
        <v>0</v>
      </c>
      <c r="BJ49" s="82"/>
      <c r="BK49" s="82">
        <f>N28</f>
        <v>0</v>
      </c>
      <c r="BL49" s="82"/>
      <c r="BM49" s="82">
        <f>P28</f>
        <v>0</v>
      </c>
      <c r="BN49" s="82"/>
      <c r="BO49" s="82">
        <f>R30</f>
        <v>246563.203125</v>
      </c>
      <c r="BP49" s="82"/>
      <c r="BQ49" s="82">
        <f>T30</f>
        <v>244954</v>
      </c>
      <c r="BR49" s="82"/>
      <c r="BS49" s="82">
        <f>V30</f>
        <v>251100.203125</v>
      </c>
      <c r="BT49" s="82"/>
      <c r="BU49" s="82">
        <f>X30</f>
        <v>262588.59375</v>
      </c>
      <c r="BV49" s="82"/>
      <c r="BW49" s="82">
        <f>Z30</f>
        <v>241815</v>
      </c>
      <c r="BX49" s="82"/>
      <c r="BY49" s="82">
        <f>AB30</f>
        <v>239301.59375</v>
      </c>
      <c r="BZ49" s="82"/>
      <c r="CA49" s="82">
        <f>AD30</f>
        <v>226596.203125</v>
      </c>
      <c r="CB49" s="82"/>
      <c r="CC49" s="82">
        <f>AF30</f>
        <v>219479.90625</v>
      </c>
      <c r="CD49" s="82"/>
      <c r="CE49" s="82">
        <f>AH30</f>
        <v>217503</v>
      </c>
      <c r="CF49" s="82"/>
      <c r="CG49" s="82">
        <f>AJ30</f>
        <v>222365.796875</v>
      </c>
      <c r="CH49" s="82"/>
      <c r="CI49" s="82">
        <f>AL28</f>
        <v>0</v>
      </c>
      <c r="CJ49" s="82"/>
      <c r="CK49" s="82">
        <f>AN28</f>
        <v>0</v>
      </c>
      <c r="CL49" s="82"/>
      <c r="CM49" s="82">
        <f>AP28</f>
        <v>0</v>
      </c>
      <c r="CN49" s="82"/>
      <c r="CO49" s="82">
        <f>AR28</f>
        <v>0</v>
      </c>
      <c r="CP49" s="82"/>
      <c r="CQ49" s="82">
        <f>AT28</f>
        <v>0</v>
      </c>
      <c r="CR49" s="82"/>
      <c r="CS49" s="82">
        <f>AV28</f>
        <v>0</v>
      </c>
      <c r="CT49" s="82"/>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1"/>
      <c r="DS49" s="411"/>
      <c r="DT49" s="411"/>
      <c r="DU49" s="411"/>
      <c r="DV49" s="411"/>
      <c r="DW49" s="411"/>
      <c r="DX49" s="411"/>
      <c r="DY49" s="411"/>
      <c r="DZ49" s="411"/>
      <c r="EA49" s="411"/>
      <c r="EB49" s="411"/>
      <c r="EC49" s="411"/>
      <c r="ED49" s="411"/>
      <c r="EE49" s="411"/>
      <c r="EF49" s="411"/>
      <c r="EG49" s="411"/>
    </row>
    <row r="50" spans="1:137" s="204" customFormat="1" ht="27.95" customHeight="1" x14ac:dyDescent="0.2">
      <c r="A50" s="294"/>
      <c r="B50" s="294"/>
      <c r="C50" s="292"/>
      <c r="D50" s="658"/>
      <c r="E50" s="658"/>
      <c r="F50" s="658"/>
      <c r="G50" s="658"/>
      <c r="H50" s="699"/>
      <c r="I50" s="699"/>
      <c r="J50" s="699"/>
      <c r="K50" s="699"/>
      <c r="L50" s="841" t="str">
        <f>D11&amp;" (W2,4)"</f>
        <v>Agua retornada sin usar (W2,4)</v>
      </c>
      <c r="M50" s="842"/>
      <c r="N50" s="842"/>
      <c r="O50" s="842"/>
      <c r="P50" s="843"/>
      <c r="Q50" s="699"/>
      <c r="R50" s="699"/>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409"/>
      <c r="AZ50" s="664">
        <v>33</v>
      </c>
      <c r="BA50" s="668" t="s">
        <v>675</v>
      </c>
      <c r="BB50" s="98" t="s">
        <v>453</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R12+R24+R25+R28-R29</f>
        <v>0</v>
      </c>
      <c r="BP50" s="82"/>
      <c r="BQ50" s="82">
        <f>T12+T24+T25+T28-T29</f>
        <v>0</v>
      </c>
      <c r="BR50" s="82"/>
      <c r="BS50" s="82">
        <f>V12+V24+V25+V28-V29</f>
        <v>0</v>
      </c>
      <c r="BT50" s="82"/>
      <c r="BU50" s="82">
        <f>X12+X24+X25+X28-X29</f>
        <v>0</v>
      </c>
      <c r="BV50" s="82"/>
      <c r="BW50" s="82">
        <f>Z12+Z24+Z25+Z28-Z29</f>
        <v>0</v>
      </c>
      <c r="BX50" s="82"/>
      <c r="BY50" s="82">
        <f>AB12+AB24+AB25+AB28-AB29</f>
        <v>239301.609375</v>
      </c>
      <c r="BZ50" s="82"/>
      <c r="CA50" s="82">
        <f>AD12+AD24+AD25+AD28-AD29</f>
        <v>226596.203125</v>
      </c>
      <c r="CB50" s="82"/>
      <c r="CC50" s="82">
        <f>AF12+AF24+AF25+AF28-AF29</f>
        <v>219479.890625</v>
      </c>
      <c r="CD50" s="82"/>
      <c r="CE50" s="82">
        <f>AH12+AH24+AH25+AH28-AH29</f>
        <v>217502.984375</v>
      </c>
      <c r="CF50" s="82"/>
      <c r="CG50" s="82">
        <f>AJ12+AJ24+AJ25+AJ28-AJ29</f>
        <v>222365.796875</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row>
    <row r="51" spans="1:137" s="397" customFormat="1" ht="27" customHeight="1" x14ac:dyDescent="0.2">
      <c r="A51" s="223"/>
      <c r="B51" s="192"/>
      <c r="C51" s="412"/>
      <c r="D51" s="659"/>
      <c r="E51" s="802" t="str">
        <f>LEFT(D12,LEN(D12)-7)&amp;" (W2,5)"</f>
        <v>Extracción neta de agua dulce (W2,5)</v>
      </c>
      <c r="F51" s="820"/>
      <c r="G51" s="820"/>
      <c r="H51" s="821"/>
      <c r="I51" s="304"/>
      <c r="J51" s="304"/>
      <c r="K51" s="304"/>
      <c r="L51" s="304"/>
      <c r="M51" s="304"/>
      <c r="N51" s="304"/>
      <c r="O51" s="304"/>
      <c r="P51" s="304"/>
      <c r="Q51" s="304"/>
      <c r="R51" s="304"/>
      <c r="S51" s="304"/>
      <c r="T51" s="304"/>
      <c r="U51" s="304"/>
      <c r="V51" s="304"/>
      <c r="W51" s="304"/>
      <c r="X51" s="304"/>
      <c r="Y51" s="304"/>
      <c r="Z51" s="304"/>
      <c r="AA51" s="304"/>
      <c r="AB51" s="304"/>
      <c r="AC51" s="309"/>
      <c r="AD51" s="309"/>
      <c r="AE51" s="525"/>
      <c r="AF51" s="525"/>
      <c r="AG51" s="525"/>
      <c r="AH51" s="525"/>
      <c r="AI51" s="525"/>
      <c r="AJ51" s="525"/>
      <c r="AK51" s="525"/>
      <c r="AL51" s="525"/>
      <c r="AM51" s="525"/>
      <c r="AN51" s="525"/>
      <c r="AO51" s="525"/>
      <c r="AP51" s="525"/>
      <c r="AQ51" s="304"/>
      <c r="AR51" s="304"/>
      <c r="AS51" s="304"/>
      <c r="AT51" s="304"/>
      <c r="AU51" s="304"/>
      <c r="AV51" s="304"/>
      <c r="AW51" s="304"/>
      <c r="AX51" s="204"/>
      <c r="AY51" s="700"/>
      <c r="AZ51" s="666" t="s">
        <v>136</v>
      </c>
      <c r="BA51" s="665" t="s">
        <v>578</v>
      </c>
      <c r="BB51" s="98"/>
      <c r="BC51" s="79" t="str">
        <f>IF(OR(ISBLANK(F12),ISBLANK(F24),ISBLANK(F25),ISBLANK(F26),ISBLANK(F27),ISBLANK(F28)),"N/A",IF((BC49=BC50),"ok","&lt;&gt;"))</f>
        <v>N/A</v>
      </c>
      <c r="BD51" s="79"/>
      <c r="BE51" s="79" t="str">
        <f>IF(OR(ISBLANK(H12),ISBLANK(H24),ISBLANK(H25),ISBLANK(H26),ISBLANK(H27),ISBLANK(H28)),"N/A",IF((BE49=BE50),"ok","&lt;&gt;"))</f>
        <v>N/A</v>
      </c>
      <c r="BF51" s="79"/>
      <c r="BG51" s="79" t="str">
        <f>IF(OR(ISBLANK(J12),ISBLANK(J24),ISBLANK(J25),ISBLANK(J26),ISBLANK(J27),ISBLANK(J28)),"N/A",IF((BG49=BG50),"ok","&lt;&gt;"))</f>
        <v>N/A</v>
      </c>
      <c r="BH51" s="79"/>
      <c r="BI51" s="79" t="str">
        <f>IF(OR(ISBLANK(L12),ISBLANK(L24),ISBLANK(L25),ISBLANK(L26),ISBLANK(L27),ISBLANK(L28)),"N/A",IF((BI49=BI50),"ok","&lt;&gt;"))</f>
        <v>N/A</v>
      </c>
      <c r="BJ51" s="79"/>
      <c r="BK51" s="79" t="str">
        <f>IF(OR(ISBLANK(N12),ISBLANK(N24),ISBLANK(N25),ISBLANK(N26),ISBLANK(N27),ISBLANK(N28)),"N/A",IF((BK49=BK50),"ok","&lt;&gt;"))</f>
        <v>N/A</v>
      </c>
      <c r="BL51" s="79"/>
      <c r="BM51" s="79" t="str">
        <f>IF(OR(ISBLANK(P12),ISBLANK(P24),ISBLANK(P25),ISBLANK(P26),ISBLANK(P27),ISBLANK(P28)),"N/A",IF((BM49=BM50),"ok","&lt;&gt;"))</f>
        <v>N/A</v>
      </c>
      <c r="BN51" s="79"/>
      <c r="BO51" s="79" t="str">
        <f>IF(OR(ISBLANK(R12),ISBLANK(R24),ISBLANK(R25),ISBLANK(R28),ISBLANK(R29),ISBLANK(R30)),"N/A",IF((BO49=BO50),"ok","&lt;&gt;"))</f>
        <v>N/A</v>
      </c>
      <c r="BP51" s="79"/>
      <c r="BQ51" s="79" t="str">
        <f>IF(OR(ISBLANK(T12),ISBLANK(T24),ISBLANK(T25),ISBLANK(T28),ISBLANK(T29),ISBLANK(T30)),"N/A",IF((BQ49=BQ50),"ok","&lt;&gt;"))</f>
        <v>N/A</v>
      </c>
      <c r="BR51" s="79"/>
      <c r="BS51" s="79" t="str">
        <f>IF(OR(ISBLANK(V12),ISBLANK(V24),ISBLANK(V25),ISBLANK(V28),ISBLANK(V29),ISBLANK(V30)),"N/A",IF((BS49=BS50),"ok","&lt;&gt;"))</f>
        <v>N/A</v>
      </c>
      <c r="BT51" s="79"/>
      <c r="BU51" s="79" t="str">
        <f>IF(OR(ISBLANK(X12),ISBLANK(X24),ISBLANK(X25),ISBLANK(X28),ISBLANK(X29),ISBLANK(X30)),"N/A",IF((BU49=BU50),"ok","&lt;&gt;"))</f>
        <v>N/A</v>
      </c>
      <c r="BV51" s="79"/>
      <c r="BW51" s="79" t="str">
        <f>IF(OR(ISBLANK(Z12),ISBLANK(Z24),ISBLANK(Z25),ISBLANK(Z28),ISBLANK(Z29),ISBLANK(Z30)),"N/A",IF((BW49=BW50),"ok","&lt;&gt;"))</f>
        <v>N/A</v>
      </c>
      <c r="BX51" s="79"/>
      <c r="BY51" s="79" t="str">
        <f>IF(OR(ISBLANK(AB12),ISBLANK(AB24),ISBLANK(AB25),ISBLANK(AB28),ISBLANK(AB29),ISBLANK(AB30)),"N/A",IF((BY49=BY50),"ok","&lt;&gt;"))</f>
        <v>N/A</v>
      </c>
      <c r="BZ51" s="79"/>
      <c r="CA51" s="79" t="str">
        <f>IF(OR(ISBLANK(AD12),ISBLANK(AD24),ISBLANK(AD25),ISBLANK(AD28),ISBLANK(AD29),ISBLANK(AD30)),"N/A",IF((CA49=CA50),"ok","&lt;&gt;"))</f>
        <v>N/A</v>
      </c>
      <c r="CB51" s="79"/>
      <c r="CC51" s="79" t="str">
        <f>IF(OR(ISBLANK(AF12),ISBLANK(AF24),ISBLANK(AF25),ISBLANK(AF28),ISBLANK(AF29),ISBLANK(AF30)),"N/A",IF((CC49=CC50),"ok","&lt;&gt;"))</f>
        <v>N/A</v>
      </c>
      <c r="CD51" s="79"/>
      <c r="CE51" s="79" t="str">
        <f>IF(OR(ISBLANK(AH12),ISBLANK(AH24),ISBLANK(AH25),ISBLANK(AH28),ISBLANK(AH29),ISBLANK(AH30)),"N/A",IF((CE49=CE50),"ok","&lt;&gt;"))</f>
        <v>N/A</v>
      </c>
      <c r="CF51" s="79"/>
      <c r="CG51" s="79" t="str">
        <f>IF(OR(ISBLANK(AJ12),ISBLANK(AJ24),ISBLANK(AJ25),ISBLANK(AJ28),ISBLANK(AJ29),ISBLANK(AJ30)),"N/A",IF((CG49=CG50),"ok","&lt;&gt;"))</f>
        <v>N/A</v>
      </c>
      <c r="CH51" s="79"/>
      <c r="CI51" s="79" t="str">
        <f>IF(OR(ISBLANK(AL12),ISBLANK(AL24),ISBLANK(AL25),ISBLANK(AL26),ISBLANK(AL27),ISBLANK(AL28)),"N/A",IF((CI49=CI50),"ok","&lt;&gt;"))</f>
        <v>N/A</v>
      </c>
      <c r="CJ51" s="79"/>
      <c r="CK51" s="79" t="str">
        <f>IF(OR(ISBLANK(AN12),ISBLANK(AN24),ISBLANK(AN25),ISBLANK(AN26),ISBLANK(AN27),ISBLANK(AN28)),"N/A",IF((CK49=CK50),"ok","&lt;&gt;"))</f>
        <v>N/A</v>
      </c>
      <c r="CL51" s="79"/>
      <c r="CM51" s="79" t="str">
        <f>IF(OR(ISBLANK(AP12),ISBLANK(AP24),ISBLANK(AP25),ISBLANK(AP26),ISBLANK(AP27),ISBLANK(AP28)),"N/A",IF((CM49=CM50),"ok","&lt;&gt;"))</f>
        <v>N/A</v>
      </c>
      <c r="CN51" s="79"/>
      <c r="CO51" s="79" t="str">
        <f>IF(OR(ISBLANK(AR12),ISBLANK(AR24),ISBLANK(AR25),ISBLANK(AR26),ISBLANK(AR27),ISBLANK(AR28)),"N/A",IF((CO49=CO50),"ok","&lt;&gt;"))</f>
        <v>N/A</v>
      </c>
      <c r="CP51" s="79"/>
      <c r="CQ51" s="79" t="str">
        <f>IF(OR(ISBLANK(AT12),ISBLANK(AT24),ISBLANK(AT25),ISBLANK(AT26),ISBLANK(AT27),ISBLANK(AT28)),"N/A",IF((CQ49=CQ50),"ok","&lt;&gt;"))</f>
        <v>N/A</v>
      </c>
      <c r="CR51" s="79"/>
      <c r="CS51" s="79" t="str">
        <f>IF(OR(ISBLANK(AV12),ISBLANK(AV24),ISBLANK(AV25),ISBLANK(AV26),ISBLANK(AV27),ISBLANK(AV28)),"N/A",IF((CS49=CS50),"ok","&lt;&gt;"))</f>
        <v>N/A</v>
      </c>
      <c r="CT51" s="7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row>
    <row r="52" spans="1:137" ht="12" customHeight="1" x14ac:dyDescent="0.2">
      <c r="C52" s="412"/>
      <c r="D52" s="526" t="str">
        <f>D13</f>
        <v>de la cual extraída por:</v>
      </c>
      <c r="E52" s="527"/>
      <c r="F52" s="304"/>
      <c r="G52" s="304"/>
      <c r="H52" s="304"/>
      <c r="I52" s="304"/>
      <c r="J52" s="304"/>
      <c r="K52" s="304"/>
      <c r="L52" s="304"/>
      <c r="M52" s="304"/>
      <c r="N52" s="304"/>
      <c r="O52" s="304"/>
      <c r="P52" s="304"/>
      <c r="Q52" s="304"/>
      <c r="R52" s="304"/>
      <c r="S52" s="304"/>
      <c r="T52" s="304"/>
      <c r="U52" s="304"/>
      <c r="V52" s="304"/>
      <c r="W52" s="304"/>
      <c r="X52" s="304"/>
      <c r="Y52" s="304"/>
      <c r="Z52" s="304"/>
      <c r="AK52" s="525"/>
      <c r="AL52" s="525"/>
      <c r="AM52" s="525"/>
      <c r="AN52" s="525"/>
      <c r="AO52" s="525"/>
      <c r="AP52" s="529"/>
      <c r="AQ52" s="304"/>
      <c r="AR52" s="304"/>
      <c r="AS52" s="304"/>
      <c r="AT52" s="304"/>
      <c r="AU52" s="304"/>
      <c r="AV52" s="304"/>
      <c r="AW52" s="304"/>
      <c r="AX52" s="204"/>
      <c r="AZ52" s="612">
        <v>5</v>
      </c>
      <c r="BA52" s="663" t="s">
        <v>685</v>
      </c>
      <c r="BB52" s="98" t="s">
        <v>453</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1:137" ht="20.100000000000001" customHeight="1" x14ac:dyDescent="0.2">
      <c r="C53" s="412"/>
      <c r="D53" s="530" t="str">
        <f>D14&amp;" (W2,6)"</f>
        <v>Industria del suministro de agua (CIIU 36) (W2,6)</v>
      </c>
      <c r="E53" s="531"/>
      <c r="F53" s="805" t="str">
        <f>D24&amp;" (W2,16)"</f>
        <v>Agua desalinizada (W2,16)</v>
      </c>
      <c r="G53" s="806"/>
      <c r="H53" s="807"/>
      <c r="I53" s="525"/>
      <c r="J53" s="525"/>
      <c r="K53" s="525"/>
      <c r="L53" s="525"/>
      <c r="M53" s="525"/>
      <c r="N53" s="525"/>
      <c r="O53" s="525"/>
      <c r="P53" s="525"/>
      <c r="Q53" s="525"/>
      <c r="R53" s="525"/>
      <c r="S53" s="525"/>
      <c r="T53" s="525"/>
      <c r="U53" s="525"/>
      <c r="V53" s="525"/>
      <c r="W53" s="525"/>
      <c r="X53" s="525"/>
      <c r="Y53" s="525"/>
      <c r="Z53" s="304"/>
      <c r="AA53" s="538"/>
      <c r="AB53" s="538"/>
      <c r="AC53" s="525"/>
      <c r="AD53" s="525"/>
      <c r="AE53" s="304"/>
      <c r="AF53" s="538"/>
      <c r="AG53" s="538"/>
      <c r="AH53" s="538"/>
      <c r="AI53" s="528"/>
      <c r="AJ53" s="528"/>
      <c r="AK53" s="304"/>
      <c r="AL53" s="538"/>
      <c r="AM53" s="538"/>
      <c r="AN53" s="525"/>
      <c r="AO53" s="525"/>
      <c r="AP53" s="525"/>
      <c r="AQ53" s="604"/>
      <c r="AR53" s="604"/>
      <c r="AS53" s="604"/>
      <c r="AT53" s="604"/>
      <c r="AU53" s="604"/>
      <c r="AV53" s="604"/>
      <c r="AW53" s="604"/>
      <c r="AX53" s="204"/>
      <c r="AZ53" s="664">
        <v>34</v>
      </c>
      <c r="BA53" s="668" t="s">
        <v>677</v>
      </c>
      <c r="BB53" s="98" t="s">
        <v>453</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0</v>
      </c>
      <c r="CD53" s="82"/>
      <c r="CE53" s="82">
        <f>SUM(AH14:AH16)+SUM(AH18:AH20)+SUM(AH22:AH23)</f>
        <v>0</v>
      </c>
      <c r="CF53" s="82"/>
      <c r="CG53" s="82">
        <f>SUM(AJ14:AJ16)+SUM(AJ18:AJ20)+SUM(AJ22:AJ23)</f>
        <v>0</v>
      </c>
      <c r="CH53" s="82"/>
      <c r="CI53" s="82">
        <f>SUM(AL14:AL16)+SUM(AL18:AL20)+SUM(AL22:AL23)</f>
        <v>0</v>
      </c>
      <c r="CJ53" s="82"/>
      <c r="CK53" s="82">
        <f>SUM(AN14:AN16)+SUM(AN18:AN20)+SUM(AN22:AN23)</f>
        <v>0</v>
      </c>
      <c r="CL53" s="82"/>
      <c r="CM53" s="82">
        <f>SUM(AP14:AP16)+SUM(AP18:AP20)+SUM(AP22:AP23)</f>
        <v>0</v>
      </c>
      <c r="CN53" s="82"/>
      <c r="CO53" s="82">
        <f>SUM(AR14:AR16)+SUM(AR18:AR20)+SUM(AR22:AR23)</f>
        <v>0</v>
      </c>
      <c r="CP53" s="82"/>
      <c r="CQ53" s="82">
        <f>SUM(AT14:AT16)+SUM(AT18:AT20)+SUM(AT22:AT23)</f>
        <v>0</v>
      </c>
      <c r="CR53" s="82"/>
      <c r="CS53" s="82">
        <f>SUM(AV14:AV16)+SUM(AV18:AV20)+SUM(AV22:AV23)</f>
        <v>0</v>
      </c>
      <c r="CT53" s="82"/>
    </row>
    <row r="54" spans="1:137" ht="20.100000000000001" customHeight="1" x14ac:dyDescent="0.2">
      <c r="D54" s="532"/>
      <c r="E54" s="525"/>
      <c r="F54" s="815"/>
      <c r="G54" s="816"/>
      <c r="H54" s="817"/>
      <c r="I54" s="525"/>
      <c r="J54" s="525"/>
      <c r="K54" s="525"/>
      <c r="L54" s="525"/>
      <c r="M54" s="525"/>
      <c r="N54" s="525"/>
      <c r="O54" s="525"/>
      <c r="P54" s="525"/>
      <c r="Q54" s="525"/>
      <c r="R54" s="525"/>
      <c r="S54" s="525"/>
      <c r="T54" s="525"/>
      <c r="U54" s="825" t="s">
        <v>122</v>
      </c>
      <c r="V54" s="826"/>
      <c r="W54" s="525"/>
      <c r="X54" s="525"/>
      <c r="Y54" s="525"/>
      <c r="Z54" s="538"/>
      <c r="AK54" s="538"/>
      <c r="AL54" s="538"/>
      <c r="AM54" s="538"/>
      <c r="AN54" s="525"/>
      <c r="AO54" s="525"/>
      <c r="AP54" s="525"/>
      <c r="AQ54" s="304"/>
      <c r="AR54" s="538"/>
      <c r="AS54" s="538"/>
      <c r="AT54" s="538"/>
      <c r="AU54" s="538"/>
      <c r="AV54" s="538"/>
      <c r="AW54" s="538"/>
      <c r="AZ54" s="666" t="s">
        <v>136</v>
      </c>
      <c r="BA54" s="665" t="s">
        <v>678</v>
      </c>
      <c r="BB54" s="98"/>
      <c r="BC54" s="79" t="str">
        <f>IF(OR(ISBLANK(F12),ISBLANK(F14),ISBLANK(F15),ISBLANK(F16),ISBLANK(F18),ISBLANK(F19),ISBLANK(F20),ISBLANK(F22),ISBLANK(F23)),"N/A", IF(BC52=BC53,"ok","&lt;&gt;"))</f>
        <v>N/A</v>
      </c>
      <c r="BD54" s="79"/>
      <c r="BE54" s="79" t="str">
        <f>IF(OR(ISBLANK(H12),ISBLANK(H14),ISBLANK(H15),ISBLANK(H16),ISBLANK(H18),ISBLANK(H19),ISBLANK(H20),ISBLANK(H22),ISBLANK(H23)),"N/A", IF(BE52=BE53,"ok","&lt;&gt;"))</f>
        <v>N/A</v>
      </c>
      <c r="BF54" s="79"/>
      <c r="BG54" s="79" t="str">
        <f>IF(OR(ISBLANK(J12),ISBLANK(J14),ISBLANK(J15),ISBLANK(J16),ISBLANK(J18),ISBLANK(J19),ISBLANK(J20),ISBLANK(J22),ISBLANK(J23)),"N/A", IF(BG52=BG53,"ok","&lt;&gt;"))</f>
        <v>N/A</v>
      </c>
      <c r="BH54" s="79"/>
      <c r="BI54" s="79" t="str">
        <f>IF(OR(ISBLANK(L12),ISBLANK(L14),ISBLANK(L15),ISBLANK(L16),ISBLANK(L18),ISBLANK(L19),ISBLANK(L20),ISBLANK(L22),ISBLANK(L23)),"N/A", IF(BI52=BI53,"ok","&lt;&gt;"))</f>
        <v>N/A</v>
      </c>
      <c r="BJ54" s="79"/>
      <c r="BK54" s="79" t="str">
        <f>IF(OR(ISBLANK(N12),ISBLANK(N14),ISBLANK(N15),ISBLANK(N16),ISBLANK(N18),ISBLANK(N19),ISBLANK(N20),ISBLANK(N22),ISBLANK(N23)),"N/A", IF(BK52=BK53,"ok","&lt;&gt;"))</f>
        <v>N/A</v>
      </c>
      <c r="BL54" s="79"/>
      <c r="BM54" s="79" t="str">
        <f>IF(OR(ISBLANK(P12),ISBLANK(P14),ISBLANK(P15),ISBLANK(P16),ISBLANK(P18),ISBLANK(#REF!),ISBLANK(P20),ISBLANK(P22),ISBLANK(P23)),"N/A", IF(BM52=BM53,"ok","&lt;&gt;"))</f>
        <v>N/A</v>
      </c>
      <c r="BN54" s="79"/>
      <c r="BO54" s="79" t="str">
        <f>IF(OR(ISBLANK(R12),ISBLANK(R14),ISBLANK(R15),ISBLANK(R16),ISBLANK(R18),ISBLANK(R19),ISBLANK(R20),ISBLANK(R22),ISBLANK(R23)),"N/A", IF(BO52=BO53,"ok","&lt;&gt;"))</f>
        <v>N/A</v>
      </c>
      <c r="BP54" s="79"/>
      <c r="BQ54" s="79" t="str">
        <f>IF(OR(ISBLANK(T12),ISBLANK(T14),ISBLANK(T15),ISBLANK(T16),ISBLANK(T18),ISBLANK(T19),ISBLANK(T20),ISBLANK(T22),ISBLANK(T23)),"N/A", IF(BQ52=BQ53,"ok","&lt;&gt;"))</f>
        <v>N/A</v>
      </c>
      <c r="BR54" s="79"/>
      <c r="BS54" s="79" t="str">
        <f>IF(OR(ISBLANK(V12),ISBLANK(V14),ISBLANK(V15),ISBLANK(V16),ISBLANK(V18),ISBLANK(V19),ISBLANK(V20),ISBLANK(V22),ISBLANK(V23)),"N/A", IF(BS52=BS53,"ok","&lt;&gt;"))</f>
        <v>N/A</v>
      </c>
      <c r="BT54" s="79"/>
      <c r="BU54" s="79" t="str">
        <f>IF(OR(ISBLANK(X12),ISBLANK(X14),ISBLANK(X15),ISBLANK(X16),ISBLANK(X18),ISBLANK(X19),ISBLANK(X20),ISBLANK(X22),ISBLANK(X23)),"N/A", IF(BU52=BU53,"ok","&lt;&gt;"))</f>
        <v>N/A</v>
      </c>
      <c r="BV54" s="79"/>
      <c r="BW54" s="79" t="str">
        <f>IF(OR(ISBLANK(Z12),ISBLANK(Z14),ISBLANK(Z15),ISBLANK(Z16),ISBLANK(Z18),ISBLANK(Z19),ISBLANK(Z20),ISBLANK(Z22),ISBLANK(Z23)),"N/A", IF(BW52=BW53,"ok","&lt;&gt;"))</f>
        <v>N/A</v>
      </c>
      <c r="BX54" s="79"/>
      <c r="BY54" s="79" t="str">
        <f>IF(OR(ISBLANK(AB12),ISBLANK(AB14),ISBLANK(AB15),ISBLANK(AB16),ISBLANK(AB18),ISBLANK(AB19),ISBLANK(AB20),ISBLANK(AB22),ISBLANK(AB23)),"N/A", IF(BY52=BY53,"ok","&lt;&gt;"))</f>
        <v>N/A</v>
      </c>
      <c r="BZ54" s="79"/>
      <c r="CA54" s="79" t="str">
        <f>IF(OR(ISBLANK(AD12),ISBLANK(AD14),ISBLANK(AD15),ISBLANK(AD16),ISBLANK(AD18),ISBLANK(AD19),ISBLANK(AD20),ISBLANK(AD22),ISBLANK(AD23)),"N/A", IF(CA52=CA53,"ok","&lt;&gt;"))</f>
        <v>N/A</v>
      </c>
      <c r="CB54" s="79"/>
      <c r="CC54" s="79" t="str">
        <f>IF(OR(ISBLANK(AF12),ISBLANK(AF14),ISBLANK(AF15),ISBLANK(AF16),ISBLANK(AF18),ISBLANK(AF19),ISBLANK(AF20),ISBLANK(AF22),ISBLANK(AF23)),"N/A", IF(CC52=CC53,"ok","&lt;&gt;"))</f>
        <v>N/A</v>
      </c>
      <c r="CD54" s="79"/>
      <c r="CE54" s="79" t="str">
        <f>IF(OR(ISBLANK(AH12),ISBLANK(AH14),ISBLANK(AH15),ISBLANK(AH16),ISBLANK(AH18),ISBLANK(AH19),ISBLANK(AH20),ISBLANK(AH22),ISBLANK(AH23)),"N/A", IF(CE52=CE53,"ok","&lt;&gt;"))</f>
        <v>N/A</v>
      </c>
      <c r="CF54" s="79"/>
      <c r="CG54" s="79" t="str">
        <f>IF(OR(ISBLANK(AJ12),ISBLANK(AJ14),ISBLANK(AJ15),ISBLANK(AJ16),ISBLANK(AJ18),ISBLANK(AJ19),ISBLANK(AJ20),ISBLANK(AJ22),ISBLANK(AJ23)),"N/A", IF(CG52=CG53,"ok","&lt;&gt;"))</f>
        <v>N/A</v>
      </c>
      <c r="CH54" s="79"/>
      <c r="CI54" s="79" t="str">
        <f>IF(OR(ISBLANK(AL12),ISBLANK(AL14),ISBLANK(AL15),ISBLANK(AL16),ISBLANK(AL18),ISBLANK(AL19),ISBLANK(AL20),ISBLANK(AL22),ISBLANK(AL23)),"N/A", IF(CI52=CI53,"ok","&lt;&gt;"))</f>
        <v>N/A</v>
      </c>
      <c r="CJ54" s="79"/>
      <c r="CK54" s="79" t="str">
        <f>IF(OR(ISBLANK(AN12),ISBLANK(AN14),ISBLANK(AN15),ISBLANK(AN16),ISBLANK(AN18),ISBLANK(AN19),ISBLANK(AN20),ISBLANK(AN22),ISBLANK(AN23)),"N/A", IF(CK52=CK53,"ok","&lt;&gt;"))</f>
        <v>N/A</v>
      </c>
      <c r="CL54" s="79"/>
      <c r="CM54" s="79" t="str">
        <f>IF(OR(ISBLANK(AP12),ISBLANK(AP14),ISBLANK(AP15),ISBLANK(AP16),ISBLANK(AP18),ISBLANK(AP19),ISBLANK(AP20),ISBLANK(AP22),ISBLANK(AP23)),"N/A", IF(CM52=CM53,"ok","&lt;&gt;"))</f>
        <v>N/A</v>
      </c>
      <c r="CN54" s="79"/>
      <c r="CO54" s="79" t="str">
        <f>IF(OR(ISBLANK(AR12),ISBLANK(AR14),ISBLANK(AR15),ISBLANK(AR16),ISBLANK(AR18),ISBLANK(AR19),ISBLANK(AR20),ISBLANK(AR22),ISBLANK(AR23)),"N/A", IF(CO52=CO53,"ok","&lt;&gt;"))</f>
        <v>N/A</v>
      </c>
      <c r="CP54" s="79"/>
      <c r="CQ54" s="79" t="str">
        <f>IF(OR(ISBLANK(AT12),ISBLANK(AT14),ISBLANK(AT15),ISBLANK(AT16),ISBLANK(AT18),ISBLANK(AT19),ISBLANK(AT20),ISBLANK(AT22),ISBLANK(AT23)),"N/A", IF(CQ52=CQ53,"ok","&lt;&gt;"))</f>
        <v>N/A</v>
      </c>
      <c r="CR54" s="79"/>
      <c r="CS54" s="79" t="str">
        <f>IF(OR(ISBLANK(AV12),ISBLANK(AV14),ISBLANK(AV15),ISBLANK(AV16),ISBLANK(AV18),ISBLANK(AV19),ISBLANK(AV20),ISBLANK(AV22),ISBLANK(AV23)),"N/A", IF(CS52=CS53,"ok","&lt;&gt;"))</f>
        <v>N/A</v>
      </c>
      <c r="CT54" s="79"/>
    </row>
    <row r="55" spans="1:137" ht="17.100000000000001" customHeight="1" x14ac:dyDescent="0.2">
      <c r="D55" s="530" t="str">
        <f>D15&amp;" (W2,7)"</f>
        <v>Hogares (W2,7)</v>
      </c>
      <c r="E55" s="525"/>
      <c r="F55" s="525"/>
      <c r="G55" s="525"/>
      <c r="H55" s="525"/>
      <c r="I55" s="525"/>
      <c r="J55" s="525"/>
      <c r="K55" s="525"/>
      <c r="L55" s="805" t="str">
        <f>LEFT(D28,LEN(D28)-16)&amp;" (W2,20)"</f>
        <v>Total de agua dulce disponible para utilización  (W2,20)</v>
      </c>
      <c r="M55" s="806"/>
      <c r="N55" s="807"/>
      <c r="O55" s="525"/>
      <c r="P55" s="525"/>
      <c r="Q55" s="805" t="str">
        <f>LEFT(D30,LEN(D30)-8)&amp;" (W2,22)"</f>
        <v>Utilización de agua dulce total  (W2,22)</v>
      </c>
      <c r="R55" s="806"/>
      <c r="S55" s="807"/>
      <c r="U55" s="826"/>
      <c r="V55" s="826"/>
      <c r="W55" s="525"/>
      <c r="X55" s="525"/>
      <c r="Y55" s="525"/>
      <c r="Z55" s="538"/>
      <c r="AA55" s="802" t="str">
        <f>D32&amp;" (W2,23)"</f>
        <v>Hogares (W2,23)</v>
      </c>
      <c r="AB55" s="829"/>
      <c r="AC55" s="829"/>
      <c r="AD55" s="829"/>
      <c r="AE55" s="829"/>
      <c r="AF55" s="829"/>
      <c r="AG55" s="829"/>
      <c r="AH55" s="844"/>
      <c r="AI55" s="844"/>
      <c r="AJ55" s="845"/>
      <c r="AK55" s="538"/>
      <c r="AL55" s="538"/>
      <c r="AM55" s="538"/>
      <c r="AO55" s="590"/>
      <c r="AP55" s="525"/>
      <c r="AQ55" s="538"/>
      <c r="AR55" s="538"/>
      <c r="AS55" s="538"/>
      <c r="AT55" s="538"/>
      <c r="AU55" s="538"/>
      <c r="AV55" s="538"/>
      <c r="AW55" s="538"/>
      <c r="AZ55" s="612">
        <v>22</v>
      </c>
      <c r="BA55" s="663" t="s">
        <v>679</v>
      </c>
      <c r="BB55" s="98" t="s">
        <v>453</v>
      </c>
      <c r="BC55" s="82">
        <f>F30</f>
        <v>0</v>
      </c>
      <c r="BD55" s="82"/>
      <c r="BE55" s="82">
        <f>H30</f>
        <v>0</v>
      </c>
      <c r="BF55" s="82"/>
      <c r="BG55" s="82">
        <f>J30</f>
        <v>0</v>
      </c>
      <c r="BH55" s="82"/>
      <c r="BI55" s="82">
        <f>L30</f>
        <v>0</v>
      </c>
      <c r="BJ55" s="82"/>
      <c r="BK55" s="82">
        <f>N30</f>
        <v>0</v>
      </c>
      <c r="BL55" s="82"/>
      <c r="BM55" s="82">
        <f>P30</f>
        <v>0</v>
      </c>
      <c r="BN55" s="82"/>
      <c r="BO55" s="82">
        <f>R32</f>
        <v>203181.5</v>
      </c>
      <c r="BP55" s="82"/>
      <c r="BQ55" s="82">
        <f>T32</f>
        <v>198948.203125</v>
      </c>
      <c r="BR55" s="82"/>
      <c r="BS55" s="82">
        <f>V32</f>
        <v>205402.09375</v>
      </c>
      <c r="BT55" s="82"/>
      <c r="BU55" s="82">
        <f>X32</f>
        <v>218565.90625</v>
      </c>
      <c r="BV55" s="82"/>
      <c r="BW55" s="82">
        <f>Z32</f>
        <v>197206.90625</v>
      </c>
      <c r="BX55" s="82"/>
      <c r="BY55" s="82">
        <f>AB32</f>
        <v>195663.59375</v>
      </c>
      <c r="BZ55" s="82"/>
      <c r="CA55" s="82">
        <f>AD32</f>
        <v>182898.59375</v>
      </c>
      <c r="CB55" s="82"/>
      <c r="CC55" s="82">
        <f>AF32</f>
        <v>173769.203125</v>
      </c>
      <c r="CD55" s="82"/>
      <c r="CE55" s="82">
        <f>AH32</f>
        <v>170926.59375</v>
      </c>
      <c r="CF55" s="82"/>
      <c r="CG55" s="82">
        <f>AJ32</f>
        <v>172386.40625</v>
      </c>
      <c r="CH55" s="82"/>
      <c r="CI55" s="82">
        <f>AL30</f>
        <v>0</v>
      </c>
      <c r="CJ55" s="82"/>
      <c r="CK55" s="82">
        <f>AN30</f>
        <v>0</v>
      </c>
      <c r="CL55" s="82"/>
      <c r="CM55" s="82">
        <f>AP30</f>
        <v>0</v>
      </c>
      <c r="CN55" s="82"/>
      <c r="CO55" s="82">
        <f>AR30</f>
        <v>0</v>
      </c>
      <c r="CP55" s="82"/>
      <c r="CQ55" s="82">
        <f>AT30</f>
        <v>0</v>
      </c>
      <c r="CR55" s="82"/>
      <c r="CS55" s="82">
        <f>AV30</f>
        <v>0</v>
      </c>
      <c r="CT55" s="82"/>
    </row>
    <row r="56" spans="1:137" ht="15" customHeight="1" x14ac:dyDescent="0.2">
      <c r="A56" s="428"/>
      <c r="D56" s="533"/>
      <c r="E56" s="525"/>
      <c r="F56" s="525"/>
      <c r="G56" s="525"/>
      <c r="H56" s="525"/>
      <c r="I56" s="525"/>
      <c r="J56" s="525"/>
      <c r="K56" s="525"/>
      <c r="L56" s="808"/>
      <c r="M56" s="809"/>
      <c r="N56" s="810"/>
      <c r="O56" s="525"/>
      <c r="P56" s="525"/>
      <c r="Q56" s="808"/>
      <c r="R56" s="809"/>
      <c r="S56" s="810"/>
      <c r="T56" s="525"/>
      <c r="U56" s="525"/>
      <c r="V56" s="525"/>
      <c r="W56" s="525"/>
      <c r="X56" s="525"/>
      <c r="Y56" s="525"/>
      <c r="Z56" s="528"/>
      <c r="AK56" s="538"/>
      <c r="AL56" s="538"/>
      <c r="AM56" s="538"/>
      <c r="AN56" s="589"/>
      <c r="AO56" s="590"/>
      <c r="AP56" s="525"/>
      <c r="AQ56" s="528"/>
      <c r="AR56" s="528"/>
      <c r="AS56" s="528"/>
      <c r="AT56" s="528"/>
      <c r="AU56" s="528"/>
      <c r="AV56" s="528"/>
      <c r="AW56" s="528"/>
      <c r="AZ56" s="664">
        <v>35</v>
      </c>
      <c r="BA56" s="665" t="s">
        <v>680</v>
      </c>
      <c r="BB56" s="98" t="s">
        <v>453</v>
      </c>
      <c r="BC56" s="79">
        <f>F28-F29</f>
        <v>0</v>
      </c>
      <c r="BD56" s="79"/>
      <c r="BE56" s="79">
        <f>H28-H29</f>
        <v>0</v>
      </c>
      <c r="BF56" s="79"/>
      <c r="BG56" s="79">
        <f>J28-J29</f>
        <v>0</v>
      </c>
      <c r="BH56" s="79"/>
      <c r="BI56" s="79">
        <f>L28-L29</f>
        <v>0</v>
      </c>
      <c r="BJ56" s="79"/>
      <c r="BK56" s="79">
        <f>N28-N29</f>
        <v>0</v>
      </c>
      <c r="BL56" s="79"/>
      <c r="BM56" s="79">
        <f>P28-P29</f>
        <v>0</v>
      </c>
      <c r="BN56" s="79"/>
      <c r="BO56" s="79">
        <f>R30-R31</f>
        <v>246563.203125</v>
      </c>
      <c r="BP56" s="79"/>
      <c r="BQ56" s="79">
        <f>T30-T31</f>
        <v>244954</v>
      </c>
      <c r="BR56" s="79"/>
      <c r="BS56" s="79">
        <f>V30-V31</f>
        <v>251100.203125</v>
      </c>
      <c r="BT56" s="79"/>
      <c r="BU56" s="79">
        <f>X30-X31</f>
        <v>262588.59375</v>
      </c>
      <c r="BV56" s="79"/>
      <c r="BW56" s="79">
        <f>Z30-Z31</f>
        <v>241815</v>
      </c>
      <c r="BX56" s="79"/>
      <c r="BY56" s="79">
        <f>AB30-AB31</f>
        <v>239301.59375</v>
      </c>
      <c r="BZ56" s="79"/>
      <c r="CA56" s="79">
        <f>AD30-AD31</f>
        <v>226596.203125</v>
      </c>
      <c r="CB56" s="79"/>
      <c r="CC56" s="79">
        <f>AF30-AF31</f>
        <v>219479.90625</v>
      </c>
      <c r="CD56" s="79"/>
      <c r="CE56" s="79">
        <f>AH30-AH31</f>
        <v>217503</v>
      </c>
      <c r="CF56" s="79"/>
      <c r="CG56" s="79">
        <f>AJ30-AJ31</f>
        <v>222365.796875</v>
      </c>
      <c r="CH56" s="79"/>
      <c r="CI56" s="79">
        <f>AL28-AL29</f>
        <v>0</v>
      </c>
      <c r="CJ56" s="79"/>
      <c r="CK56" s="79">
        <f>AN28-AN29</f>
        <v>0</v>
      </c>
      <c r="CL56" s="79"/>
      <c r="CM56" s="79">
        <f>AP28-AP29</f>
        <v>0</v>
      </c>
      <c r="CN56" s="79"/>
      <c r="CO56" s="79">
        <f>AR28-AR29</f>
        <v>0</v>
      </c>
      <c r="CP56" s="79"/>
      <c r="CQ56" s="79">
        <f>AT28-AT29</f>
        <v>0</v>
      </c>
      <c r="CR56" s="79"/>
      <c r="CS56" s="79">
        <f>AV28-AV29</f>
        <v>0</v>
      </c>
      <c r="CT56" s="79"/>
    </row>
    <row r="57" spans="1:137" ht="23.25" customHeight="1" x14ac:dyDescent="0.2">
      <c r="A57" s="419"/>
      <c r="D57" s="530" t="str">
        <f>D16&amp;" (W2,8)"</f>
        <v>Agricultura, ganadería, silvicultura y pesca (CIIU 01-03) (W2,8)</v>
      </c>
      <c r="E57" s="525"/>
      <c r="F57" s="827" t="str">
        <f>D25&amp;" (W2,17)"</f>
        <v>Agua reutilizada (W2,17)</v>
      </c>
      <c r="G57" s="819"/>
      <c r="H57" s="828"/>
      <c r="I57" s="525"/>
      <c r="J57" s="525"/>
      <c r="K57" s="525"/>
      <c r="L57" s="808"/>
      <c r="M57" s="809"/>
      <c r="N57" s="810"/>
      <c r="O57" s="525"/>
      <c r="P57" s="525"/>
      <c r="Q57" s="808"/>
      <c r="R57" s="809"/>
      <c r="S57" s="810"/>
      <c r="T57" s="525"/>
      <c r="U57" s="525"/>
      <c r="V57" s="525"/>
      <c r="W57" s="525"/>
      <c r="X57" s="525"/>
      <c r="Y57" s="525"/>
      <c r="Z57" s="304"/>
      <c r="AA57" s="818" t="str">
        <f>D33&amp;" (W2,24)"</f>
        <v>Agricultura, ganadería, silvicultura y pesca (CIIU 01-03) (W2,24)</v>
      </c>
      <c r="AB57" s="819"/>
      <c r="AC57" s="819"/>
      <c r="AD57" s="819"/>
      <c r="AE57" s="819"/>
      <c r="AF57" s="819"/>
      <c r="AG57" s="819"/>
      <c r="AH57" s="820"/>
      <c r="AI57" s="820"/>
      <c r="AJ57" s="821"/>
      <c r="AK57" s="538"/>
      <c r="AL57" s="538"/>
      <c r="AM57" s="538"/>
      <c r="AN57" s="534"/>
      <c r="AO57" s="535"/>
      <c r="AP57" s="525"/>
      <c r="AQ57" s="304"/>
      <c r="AR57" s="304"/>
      <c r="AS57" s="304"/>
      <c r="AT57" s="304"/>
      <c r="AU57" s="304"/>
      <c r="AV57" s="304"/>
      <c r="AW57" s="304"/>
      <c r="AZ57" s="669" t="s">
        <v>136</v>
      </c>
      <c r="BA57" s="670" t="s">
        <v>686</v>
      </c>
      <c r="BB57" s="421"/>
      <c r="BC57" s="80" t="str">
        <f>IF(OR(ISBLANK(F28),ISBLANK(F29),ISBLANK(F30)),"N/A", IF(BC55=BC56,"ok","&lt;&gt;"))</f>
        <v>N/A</v>
      </c>
      <c r="BD57" s="80"/>
      <c r="BE57" s="80" t="str">
        <f>IF(OR(ISBLANK(H28),ISBLANK(H29),ISBLANK(H30)),"N/A", IF(BE55=BE56,"ok","&lt;&gt;"))</f>
        <v>N/A</v>
      </c>
      <c r="BF57" s="80"/>
      <c r="BG57" s="80" t="str">
        <f>IF(OR(ISBLANK(J28),ISBLANK(J29),ISBLANK(J30)),"N/A", IF(BG55=BG56,"ok","&lt;&gt;"))</f>
        <v>N/A</v>
      </c>
      <c r="BH57" s="80"/>
      <c r="BI57" s="80" t="str">
        <f>IF(OR(ISBLANK(L28),ISBLANK(L29),ISBLANK(L30)),"N/A", IF(BI55=BI56,"ok","&lt;&gt;"))</f>
        <v>N/A</v>
      </c>
      <c r="BJ57" s="80"/>
      <c r="BK57" s="80" t="str">
        <f>IF(OR(ISBLANK(N28),ISBLANK(N29),ISBLANK(N30)),"N/A", IF(BK55=BK56,"ok","&lt;&gt;"))</f>
        <v>N/A</v>
      </c>
      <c r="BL57" s="80"/>
      <c r="BM57" s="80" t="str">
        <f>IF(OR(ISBLANK(P28),ISBLANK(P29),ISBLANK(P30)),"N/A", IF(BM55=BM56,"ok","&lt;&gt;"))</f>
        <v>N/A</v>
      </c>
      <c r="BN57" s="80"/>
      <c r="BO57" s="80" t="str">
        <f>IF(OR(ISBLANK(R30),ISBLANK(R31),ISBLANK(R32)),"N/A", IF(BO55=BO56,"ok","&lt;&gt;"))</f>
        <v>N/A</v>
      </c>
      <c r="BP57" s="80"/>
      <c r="BQ57" s="80" t="str">
        <f>IF(OR(ISBLANK(T30),ISBLANK(T31),ISBLANK(T32)),"N/A", IF(BQ55=BQ56,"ok","&lt;&gt;"))</f>
        <v>N/A</v>
      </c>
      <c r="BR57" s="80"/>
      <c r="BS57" s="80" t="str">
        <f>IF(OR(ISBLANK(V30),ISBLANK(V31),ISBLANK(V32)),"N/A", IF(BS55=BS56,"ok","&lt;&gt;"))</f>
        <v>N/A</v>
      </c>
      <c r="BT57" s="80"/>
      <c r="BU57" s="80" t="str">
        <f>IF(OR(ISBLANK(X30),ISBLANK(X31),ISBLANK(X32)),"N/A", IF(BU55=BU56,"ok","&lt;&gt;"))</f>
        <v>N/A</v>
      </c>
      <c r="BV57" s="80"/>
      <c r="BW57" s="80" t="str">
        <f>IF(OR(ISBLANK(Z30),ISBLANK(Z31),ISBLANK(Z32)),"N/A", IF(BW55=BW56,"ok","&lt;&gt;"))</f>
        <v>N/A</v>
      </c>
      <c r="BX57" s="80"/>
      <c r="BY57" s="80" t="str">
        <f>IF(OR(ISBLANK(AB30),ISBLANK(AB31),ISBLANK(AB32)),"N/A", IF(BY55=BY56,"ok","&lt;&gt;"))</f>
        <v>N/A</v>
      </c>
      <c r="BZ57" s="80"/>
      <c r="CA57" s="80" t="str">
        <f>IF(OR(ISBLANK(AD30),ISBLANK(AD31),ISBLANK(AD32)),"N/A", IF(CA55=CA56,"ok","&lt;&gt;"))</f>
        <v>N/A</v>
      </c>
      <c r="CB57" s="80"/>
      <c r="CC57" s="80" t="str">
        <f>IF(OR(ISBLANK(AF30),ISBLANK(AF31),ISBLANK(AF32)),"N/A", IF(CC55=CC56,"ok","&lt;&gt;"))</f>
        <v>N/A</v>
      </c>
      <c r="CD57" s="80"/>
      <c r="CE57" s="80" t="str">
        <f>IF(OR(ISBLANK(AH30),ISBLANK(AH31),ISBLANK(AH32)),"N/A", IF(CE55=CE56,"ok","&lt;&gt;"))</f>
        <v>N/A</v>
      </c>
      <c r="CF57" s="80"/>
      <c r="CG57" s="80" t="str">
        <f>IF(OR(ISBLANK(AJ30),ISBLANK(AJ31),ISBLANK(AJ32)),"N/A", IF(CG55=CG56,"ok","&lt;&gt;"))</f>
        <v>N/A</v>
      </c>
      <c r="CH57" s="80"/>
      <c r="CI57" s="80" t="str">
        <f>IF(OR(ISBLANK(AL28),ISBLANK(AL29),ISBLANK(AL30)),"N/A", IF(CI55=CI56,"ok","&lt;&gt;"))</f>
        <v>N/A</v>
      </c>
      <c r="CJ57" s="80"/>
      <c r="CK57" s="80" t="str">
        <f>IF(OR(ISBLANK(AN28),ISBLANK(AN29),ISBLANK(AN30)),"N/A", IF(CK55=CK56,"ok","&lt;&gt;"))</f>
        <v>N/A</v>
      </c>
      <c r="CL57" s="80"/>
      <c r="CM57" s="80" t="str">
        <f>IF(OR(ISBLANK(AP28),ISBLANK(AP29),ISBLANK(AP30)),"N/A", IF(CM55=CM56,"ok","&lt;&gt;"))</f>
        <v>N/A</v>
      </c>
      <c r="CN57" s="80"/>
      <c r="CO57" s="80" t="str">
        <f>IF(OR(ISBLANK(AR28),ISBLANK(AR29),ISBLANK(AR30)),"N/A", IF(CO55=CO56,"ok","&lt;&gt;"))</f>
        <v>N/A</v>
      </c>
      <c r="CP57" s="80"/>
      <c r="CQ57" s="80" t="str">
        <f>IF(OR(ISBLANK(AT28),ISBLANK(AT29),ISBLANK(AT30)),"N/A", IF(CQ55=CQ56,"ok","&lt;&gt;"))</f>
        <v>N/A</v>
      </c>
      <c r="CR57" s="80"/>
      <c r="CS57" s="80" t="str">
        <f>IF(OR(ISBLANK(AV28),ISBLANK(AV29),ISBLANK(AV30)),"N/A", IF(CS55=CS56,"ok","&lt;&gt;"))</f>
        <v>N/A</v>
      </c>
      <c r="CT57" s="80"/>
    </row>
    <row r="58" spans="1:137" ht="6.6" customHeight="1" x14ac:dyDescent="0.2">
      <c r="A58" s="419"/>
      <c r="D58" s="536"/>
      <c r="E58" s="525"/>
      <c r="F58" s="525"/>
      <c r="G58" s="525"/>
      <c r="H58" s="525"/>
      <c r="I58" s="525"/>
      <c r="J58" s="525"/>
      <c r="K58" s="525"/>
      <c r="L58" s="808"/>
      <c r="M58" s="809"/>
      <c r="N58" s="810"/>
      <c r="O58" s="525"/>
      <c r="P58" s="525"/>
      <c r="Q58" s="808"/>
      <c r="R58" s="809"/>
      <c r="S58" s="810"/>
      <c r="T58" s="525"/>
      <c r="U58" s="525"/>
      <c r="V58" s="525"/>
      <c r="W58" s="525"/>
      <c r="X58" s="525"/>
      <c r="Y58" s="525"/>
      <c r="Z58" s="528"/>
      <c r="AA58" s="525"/>
      <c r="AB58" s="525"/>
      <c r="AC58" s="525"/>
      <c r="AD58" s="525"/>
      <c r="AE58" s="525"/>
      <c r="AF58" s="525"/>
      <c r="AG58" s="525"/>
      <c r="AH58" s="525"/>
      <c r="AI58" s="525"/>
      <c r="AJ58" s="525"/>
      <c r="AK58" s="538"/>
      <c r="AL58" s="538"/>
      <c r="AM58" s="538"/>
      <c r="AN58" s="525"/>
      <c r="AO58" s="525"/>
      <c r="AP58" s="525"/>
      <c r="AQ58" s="528"/>
      <c r="AR58" s="528"/>
      <c r="AS58" s="528"/>
      <c r="AT58" s="528"/>
      <c r="AU58" s="528"/>
      <c r="AV58" s="528"/>
      <c r="AW58" s="528"/>
      <c r="AY58" s="334"/>
      <c r="AZ58" s="331" t="s">
        <v>438</v>
      </c>
      <c r="BA58" s="332" t="s">
        <v>439</v>
      </c>
      <c r="BB58" s="97"/>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1:137" ht="20.100000000000001" customHeight="1" x14ac:dyDescent="0.2">
      <c r="A59" s="419"/>
      <c r="D59" s="530" t="str">
        <f>D18&amp;" (W2,10)"</f>
        <v>Explotación de minas y canteras (CIIU 05-09) (W2,10)</v>
      </c>
      <c r="E59" s="525"/>
      <c r="F59" s="525"/>
      <c r="G59" s="525"/>
      <c r="H59" s="525"/>
      <c r="I59" s="525"/>
      <c r="J59" s="525"/>
      <c r="K59" s="525"/>
      <c r="L59" s="808"/>
      <c r="M59" s="809"/>
      <c r="N59" s="810"/>
      <c r="O59" s="525"/>
      <c r="P59" s="525"/>
      <c r="Q59" s="808"/>
      <c r="R59" s="809"/>
      <c r="S59" s="810"/>
      <c r="T59" s="525"/>
      <c r="U59" s="525"/>
      <c r="V59" s="525"/>
      <c r="W59" s="525"/>
      <c r="X59" s="525"/>
      <c r="Y59" s="525"/>
      <c r="Z59" s="528"/>
      <c r="AA59" s="818" t="str">
        <f>D35&amp;" (W2,26)"</f>
        <v>Explotación de minas y canteras (CIIU 05-09) (W2,26)</v>
      </c>
      <c r="AB59" s="819"/>
      <c r="AC59" s="819"/>
      <c r="AD59" s="819"/>
      <c r="AE59" s="819"/>
      <c r="AF59" s="819"/>
      <c r="AG59" s="819"/>
      <c r="AH59" s="820"/>
      <c r="AI59" s="820"/>
      <c r="AJ59" s="821"/>
      <c r="AK59" s="528"/>
      <c r="AL59" s="528"/>
      <c r="AM59" s="528"/>
      <c r="AN59" s="525"/>
      <c r="AO59" s="525"/>
      <c r="AP59" s="525"/>
      <c r="AQ59" s="304"/>
      <c r="AR59" s="304"/>
      <c r="AS59" s="304"/>
      <c r="AT59" s="304"/>
      <c r="AU59" s="304"/>
      <c r="AV59" s="304"/>
      <c r="AW59" s="304"/>
      <c r="AY59" s="334"/>
      <c r="AZ59" s="331" t="s">
        <v>440</v>
      </c>
      <c r="BA59" s="332" t="s">
        <v>441</v>
      </c>
      <c r="BB59" s="97"/>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1:137" ht="6.6" customHeight="1" x14ac:dyDescent="0.2">
      <c r="A60" s="419"/>
      <c r="B60" s="524"/>
      <c r="D60" s="536"/>
      <c r="E60" s="525"/>
      <c r="F60" s="525"/>
      <c r="G60" s="525"/>
      <c r="H60" s="525"/>
      <c r="I60" s="525"/>
      <c r="J60" s="525"/>
      <c r="K60" s="525"/>
      <c r="L60" s="808"/>
      <c r="M60" s="809"/>
      <c r="N60" s="810"/>
      <c r="O60" s="525"/>
      <c r="P60" s="525"/>
      <c r="Q60" s="808"/>
      <c r="R60" s="809"/>
      <c r="S60" s="810"/>
      <c r="T60" s="525"/>
      <c r="U60" s="525"/>
      <c r="V60" s="525"/>
      <c r="W60" s="525"/>
      <c r="X60" s="525"/>
      <c r="Y60" s="525"/>
      <c r="Z60" s="528"/>
      <c r="AK60" s="528"/>
      <c r="AL60" s="528"/>
      <c r="AM60" s="528"/>
      <c r="AN60" s="525"/>
      <c r="AO60" s="525"/>
      <c r="AP60" s="525"/>
      <c r="AQ60" s="528"/>
      <c r="AR60" s="528"/>
      <c r="AS60" s="528"/>
      <c r="AT60" s="528"/>
      <c r="AU60" s="528"/>
      <c r="AV60" s="528"/>
      <c r="AW60" s="528"/>
      <c r="AY60" s="334"/>
      <c r="AZ60" s="333" t="s">
        <v>443</v>
      </c>
      <c r="BA60" s="332" t="s">
        <v>445</v>
      </c>
      <c r="BB60" s="97"/>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1:137" ht="20.100000000000001" customHeight="1" x14ac:dyDescent="0.2">
      <c r="A61" s="419"/>
      <c r="B61" s="524"/>
      <c r="D61" s="530" t="str">
        <f>D19&amp;" (W2,11)"</f>
        <v>Industrias manufactureras (CIIU 10-33) (W2,11)</v>
      </c>
      <c r="E61" s="525"/>
      <c r="F61" s="525"/>
      <c r="G61" s="525"/>
      <c r="H61" s="525"/>
      <c r="I61" s="525"/>
      <c r="J61" s="525"/>
      <c r="K61" s="525"/>
      <c r="L61" s="808"/>
      <c r="M61" s="809"/>
      <c r="N61" s="810"/>
      <c r="O61" s="525"/>
      <c r="P61" s="525"/>
      <c r="Q61" s="808"/>
      <c r="R61" s="809"/>
      <c r="S61" s="810"/>
      <c r="T61" s="525"/>
      <c r="U61" s="525"/>
      <c r="V61" s="525"/>
      <c r="W61" s="525"/>
      <c r="X61" s="525"/>
      <c r="Y61" s="525"/>
      <c r="Z61" s="528"/>
      <c r="AA61" s="802" t="str">
        <f>D36&amp;" (W2,27)"</f>
        <v>Industrias manufactureras (CIIU 10-33) (W2,27)</v>
      </c>
      <c r="AB61" s="803"/>
      <c r="AC61" s="803"/>
      <c r="AD61" s="803"/>
      <c r="AE61" s="803"/>
      <c r="AF61" s="803"/>
      <c r="AG61" s="803"/>
      <c r="AH61" s="803"/>
      <c r="AI61" s="803"/>
      <c r="AJ61" s="804"/>
      <c r="AK61" s="304"/>
      <c r="AL61" s="304"/>
      <c r="AM61" s="528"/>
      <c r="AN61" s="525"/>
      <c r="AO61" s="525"/>
      <c r="AP61" s="525"/>
      <c r="AQ61" s="304"/>
      <c r="AR61" s="304"/>
      <c r="AS61" s="304"/>
      <c r="AT61" s="304"/>
      <c r="AU61" s="304"/>
      <c r="AV61" s="304"/>
      <c r="AW61" s="304"/>
      <c r="AY61" s="334"/>
      <c r="AZ61" s="333" t="s">
        <v>442</v>
      </c>
      <c r="BA61" s="332" t="s">
        <v>379</v>
      </c>
      <c r="BB61" s="97"/>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1:137" ht="6.6" customHeight="1" x14ac:dyDescent="0.2">
      <c r="A62" s="419"/>
      <c r="B62" s="524"/>
      <c r="D62" s="536"/>
      <c r="E62" s="525"/>
      <c r="F62" s="525"/>
      <c r="G62" s="525"/>
      <c r="H62" s="525"/>
      <c r="I62" s="525"/>
      <c r="J62" s="525"/>
      <c r="K62" s="525"/>
      <c r="L62" s="808"/>
      <c r="M62" s="809"/>
      <c r="N62" s="810"/>
      <c r="O62" s="525"/>
      <c r="P62" s="525"/>
      <c r="Q62" s="808"/>
      <c r="R62" s="809"/>
      <c r="S62" s="810"/>
      <c r="T62" s="525"/>
      <c r="U62" s="525"/>
      <c r="V62" s="525"/>
      <c r="W62" s="525"/>
      <c r="X62" s="525"/>
      <c r="Y62" s="525"/>
      <c r="Z62" s="528"/>
      <c r="AA62" s="528"/>
      <c r="AB62" s="528"/>
      <c r="AC62" s="528"/>
      <c r="AD62" s="528"/>
      <c r="AE62" s="528"/>
      <c r="AF62" s="528"/>
      <c r="AG62" s="528"/>
      <c r="AH62" s="528"/>
      <c r="AI62" s="528"/>
      <c r="AJ62" s="528"/>
      <c r="AK62" s="304"/>
      <c r="AL62" s="304"/>
      <c r="AM62" s="528"/>
      <c r="AN62" s="525"/>
      <c r="AO62" s="525"/>
      <c r="AP62" s="525"/>
      <c r="AQ62" s="525"/>
      <c r="AR62" s="525"/>
      <c r="AS62" s="525"/>
      <c r="AT62" s="525"/>
      <c r="AU62" s="525"/>
      <c r="AV62" s="525"/>
      <c r="AW62" s="525"/>
      <c r="AY62" s="334"/>
      <c r="AZ62" s="331" t="s">
        <v>438</v>
      </c>
      <c r="BA62" s="332" t="s">
        <v>439</v>
      </c>
      <c r="BB62" s="97"/>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1:137" ht="20.25" customHeight="1" x14ac:dyDescent="0.2">
      <c r="A63" s="419"/>
      <c r="B63" s="524"/>
      <c r="D63" s="530" t="str">
        <f>D20&amp;" (W2,12)"</f>
        <v>Suministro de electricidad, gas, vapor y aire acondicionado (CIIU 35) (W2,12)</v>
      </c>
      <c r="E63" s="525"/>
      <c r="F63" s="525"/>
      <c r="G63" s="525"/>
      <c r="H63" s="525"/>
      <c r="I63" s="525"/>
      <c r="J63" s="525"/>
      <c r="K63" s="525"/>
      <c r="L63" s="815"/>
      <c r="M63" s="816"/>
      <c r="N63" s="817"/>
      <c r="O63" s="525"/>
      <c r="P63" s="525"/>
      <c r="Q63" s="815"/>
      <c r="R63" s="816"/>
      <c r="S63" s="817"/>
      <c r="T63" s="525"/>
      <c r="U63" s="525"/>
      <c r="V63" s="525"/>
      <c r="W63" s="525"/>
      <c r="X63" s="529"/>
      <c r="Y63" s="304"/>
      <c r="Z63" s="304"/>
      <c r="AA63" s="802" t="str">
        <f>D37&amp;" (W2,28)"</f>
        <v>Suministro de electricidad, gas, vapor y aire acondicionado (CIIU 35) (W2,28)</v>
      </c>
      <c r="AB63" s="803"/>
      <c r="AC63" s="803"/>
      <c r="AD63" s="803"/>
      <c r="AE63" s="803"/>
      <c r="AF63" s="803"/>
      <c r="AG63" s="803"/>
      <c r="AH63" s="803"/>
      <c r="AI63" s="803"/>
      <c r="AJ63" s="804"/>
      <c r="AK63" s="304"/>
      <c r="AL63" s="304"/>
      <c r="AM63" s="528"/>
      <c r="AN63" s="525"/>
      <c r="AO63" s="525"/>
      <c r="AP63" s="525"/>
      <c r="AQ63" s="525"/>
      <c r="AR63" s="525"/>
      <c r="AS63" s="525"/>
      <c r="AT63" s="525"/>
      <c r="AU63" s="525"/>
      <c r="AV63" s="525"/>
      <c r="AW63" s="525"/>
      <c r="AY63" s="334"/>
      <c r="AZ63" s="331" t="s">
        <v>440</v>
      </c>
      <c r="BA63" s="332" t="s">
        <v>441</v>
      </c>
      <c r="BB63" s="97"/>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1:137" ht="6.6" customHeight="1" x14ac:dyDescent="0.2">
      <c r="A64" s="419"/>
      <c r="B64" s="524"/>
      <c r="D64" s="536"/>
      <c r="E64" s="525"/>
      <c r="F64" s="805" t="str">
        <f>D26&amp;" - "&amp;D27&amp;"  =(W2,18) - (W2,19)"</f>
        <v>Importaciones de agua - Exportaciones de agua  =(W2,18) - (W2,19)</v>
      </c>
      <c r="G64" s="806"/>
      <c r="H64" s="807"/>
      <c r="I64" s="525"/>
      <c r="J64" s="525"/>
      <c r="K64" s="525"/>
      <c r="L64" s="525"/>
      <c r="M64" s="525"/>
      <c r="N64" s="525"/>
      <c r="O64" s="525"/>
      <c r="P64" s="525"/>
      <c r="Q64" s="525"/>
      <c r="R64" s="525"/>
      <c r="S64" s="525"/>
      <c r="T64" s="525"/>
      <c r="U64" s="525"/>
      <c r="V64" s="525"/>
      <c r="W64" s="525"/>
      <c r="X64" s="529"/>
      <c r="Y64" s="304"/>
      <c r="Z64" s="603"/>
      <c r="AB64" s="814"/>
      <c r="AC64" s="814"/>
      <c r="AD64" s="814"/>
      <c r="AE64" s="814"/>
      <c r="AF64" s="814"/>
      <c r="AG64" s="814"/>
      <c r="AH64" s="814"/>
      <c r="AI64" s="814"/>
      <c r="AJ64" s="814"/>
      <c r="AK64" s="304"/>
      <c r="AL64" s="304"/>
      <c r="AM64" s="528"/>
      <c r="AN64" s="525"/>
      <c r="AO64" s="525"/>
      <c r="AP64" s="525"/>
      <c r="AQ64" s="525"/>
      <c r="AR64" s="525"/>
      <c r="AS64" s="525"/>
      <c r="AT64" s="525"/>
      <c r="AU64" s="525"/>
      <c r="AV64" s="525"/>
      <c r="AW64" s="525"/>
      <c r="AZ64" s="333" t="s">
        <v>443</v>
      </c>
      <c r="BA64" s="332" t="s">
        <v>445</v>
      </c>
      <c r="BB64" s="97"/>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row>
    <row r="65" spans="1:98" ht="15.6" customHeight="1" x14ac:dyDescent="0.2">
      <c r="A65" s="419"/>
      <c r="B65" s="524"/>
      <c r="D65" s="530" t="str">
        <f>D22&amp;" (W2,14)"</f>
        <v>Construcción (CIIU 41-43) (W2,14)</v>
      </c>
      <c r="E65" s="525"/>
      <c r="F65" s="808"/>
      <c r="G65" s="809"/>
      <c r="H65" s="810"/>
      <c r="I65" s="525"/>
      <c r="J65" s="525"/>
      <c r="K65" s="525"/>
      <c r="L65" s="525"/>
      <c r="M65" s="525"/>
      <c r="N65" s="805" t="str">
        <f>D29&amp;" (W2,21)"</f>
        <v>Pérdidas durante el transporte  (W2,21)</v>
      </c>
      <c r="O65" s="806"/>
      <c r="P65" s="807"/>
      <c r="Q65" s="525"/>
      <c r="R65" s="525"/>
      <c r="S65" s="525"/>
      <c r="T65" s="525"/>
      <c r="U65" s="525"/>
      <c r="V65" s="525"/>
      <c r="W65" s="525"/>
      <c r="X65" s="529"/>
      <c r="Y65" s="304"/>
      <c r="Z65" s="603"/>
      <c r="AA65" s="802" t="str">
        <f>D39&amp;" (W2,30)"</f>
        <v>Construcción (CIIU 41-43) (W2,30)</v>
      </c>
      <c r="AB65" s="803"/>
      <c r="AC65" s="803"/>
      <c r="AD65" s="803"/>
      <c r="AE65" s="803"/>
      <c r="AF65" s="803"/>
      <c r="AG65" s="803"/>
      <c r="AH65" s="803"/>
      <c r="AI65" s="803"/>
      <c r="AJ65" s="804"/>
      <c r="AK65" s="304"/>
      <c r="AL65" s="304"/>
      <c r="AM65" s="528"/>
      <c r="AN65" s="525"/>
      <c r="AO65" s="525"/>
      <c r="AP65" s="525"/>
      <c r="AQ65" s="525"/>
      <c r="AR65" s="525"/>
      <c r="AS65" s="525"/>
      <c r="AT65" s="525"/>
      <c r="AU65" s="525"/>
      <c r="AV65" s="525"/>
      <c r="AW65" s="525"/>
      <c r="AZ65" s="333" t="s">
        <v>442</v>
      </c>
      <c r="BA65" s="332" t="s">
        <v>379</v>
      </c>
      <c r="BB65" s="97"/>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row>
    <row r="66" spans="1:98" ht="6.6" customHeight="1" x14ac:dyDescent="0.2">
      <c r="A66" s="419"/>
      <c r="B66" s="524"/>
      <c r="D66" s="536"/>
      <c r="E66" s="525"/>
      <c r="F66" s="811"/>
      <c r="G66" s="812"/>
      <c r="H66" s="813"/>
      <c r="I66" s="525"/>
      <c r="J66" s="525"/>
      <c r="K66" s="525"/>
      <c r="L66" s="525"/>
      <c r="M66" s="525"/>
      <c r="N66" s="815"/>
      <c r="O66" s="816"/>
      <c r="P66" s="817"/>
      <c r="Q66" s="525"/>
      <c r="R66" s="525"/>
      <c r="S66" s="525"/>
      <c r="T66" s="525"/>
      <c r="U66" s="525"/>
      <c r="V66" s="525"/>
      <c r="W66" s="525"/>
      <c r="X66" s="529"/>
      <c r="Y66" s="538"/>
      <c r="Z66" s="603"/>
      <c r="AA66" s="603"/>
      <c r="AB66" s="603"/>
      <c r="AC66" s="525"/>
      <c r="AD66" s="525"/>
      <c r="AE66" s="528"/>
      <c r="AF66" s="528"/>
      <c r="AG66" s="528"/>
      <c r="AH66" s="304"/>
      <c r="AI66" s="304"/>
      <c r="AJ66" s="304"/>
      <c r="AK66" s="304"/>
      <c r="AL66" s="304"/>
      <c r="AM66" s="528"/>
      <c r="AN66" s="525"/>
      <c r="AO66" s="525"/>
      <c r="AP66" s="525"/>
      <c r="AQ66" s="525"/>
      <c r="AR66" s="525"/>
      <c r="AS66" s="525"/>
      <c r="AT66" s="525"/>
      <c r="AU66" s="525"/>
      <c r="AV66" s="525"/>
      <c r="AW66" s="525"/>
      <c r="AZ66" s="701"/>
      <c r="BA66" s="701"/>
      <c r="BB66" s="97"/>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row>
    <row r="67" spans="1:98" ht="16.350000000000001" customHeight="1" x14ac:dyDescent="0.2">
      <c r="A67" s="419"/>
      <c r="B67" s="420"/>
      <c r="C67" s="613"/>
      <c r="D67" s="530" t="str">
        <f>D23&amp;" (W2,15)"</f>
        <v>Otras actividades económicas (W2,15)</v>
      </c>
      <c r="E67" s="525"/>
      <c r="F67" s="525"/>
      <c r="G67" s="525"/>
      <c r="H67" s="525"/>
      <c r="I67" s="525"/>
      <c r="J67" s="525"/>
      <c r="K67" s="525"/>
      <c r="L67" s="525"/>
      <c r="M67" s="525"/>
      <c r="N67" s="525"/>
      <c r="O67" s="525"/>
      <c r="P67" s="525"/>
      <c r="Q67" s="525"/>
      <c r="R67" s="525"/>
      <c r="S67" s="525"/>
      <c r="T67" s="525"/>
      <c r="U67" s="525"/>
      <c r="V67" s="525"/>
      <c r="W67" s="525"/>
      <c r="X67" s="525"/>
      <c r="Y67" s="529"/>
      <c r="Z67" s="525"/>
      <c r="AA67" s="802" t="str">
        <f>D40&amp;" (W2,31)"</f>
        <v>Otras actividades económicas (W2,31)</v>
      </c>
      <c r="AB67" s="829"/>
      <c r="AC67" s="829"/>
      <c r="AD67" s="829"/>
      <c r="AE67" s="829"/>
      <c r="AF67" s="829"/>
      <c r="AG67" s="829"/>
      <c r="AH67" s="829"/>
      <c r="AI67" s="829"/>
      <c r="AJ67" s="830"/>
      <c r="AK67" s="528"/>
      <c r="AL67" s="528"/>
      <c r="AM67" s="528"/>
      <c r="AN67" s="529"/>
      <c r="AO67" s="529"/>
      <c r="AP67" s="529"/>
      <c r="AQ67" s="529"/>
      <c r="AR67" s="529"/>
      <c r="AS67" s="529"/>
      <c r="AT67" s="529"/>
      <c r="AU67" s="529"/>
      <c r="AV67" s="529"/>
      <c r="AW67" s="529"/>
      <c r="AX67" s="537"/>
      <c r="AZ67" s="422"/>
      <c r="BA67" s="423"/>
      <c r="BB67" s="97"/>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row>
    <row r="68" spans="1:98" ht="24" customHeight="1" x14ac:dyDescent="0.25">
      <c r="A68" s="419"/>
      <c r="B68" s="192">
        <v>3</v>
      </c>
      <c r="C68" s="318" t="s">
        <v>119</v>
      </c>
      <c r="D68" s="413"/>
      <c r="E68" s="318"/>
      <c r="F68" s="224"/>
      <c r="G68" s="321"/>
      <c r="H68" s="322"/>
      <c r="I68" s="323"/>
      <c r="J68" s="323"/>
      <c r="K68" s="323"/>
      <c r="L68" s="323"/>
      <c r="M68" s="323"/>
      <c r="N68" s="323"/>
      <c r="O68" s="323"/>
      <c r="P68" s="322"/>
      <c r="Q68" s="323"/>
      <c r="R68" s="322"/>
      <c r="S68" s="323"/>
      <c r="T68" s="322"/>
      <c r="U68" s="323"/>
      <c r="V68" s="322"/>
      <c r="W68" s="321"/>
      <c r="X68" s="322"/>
      <c r="Y68" s="321"/>
      <c r="Z68" s="322"/>
      <c r="AA68" s="321"/>
      <c r="AB68" s="322"/>
      <c r="AC68" s="321"/>
      <c r="AD68" s="322"/>
      <c r="AE68" s="321"/>
      <c r="AF68" s="414"/>
      <c r="AG68" s="321"/>
      <c r="AH68" s="322"/>
      <c r="AI68" s="323"/>
      <c r="AJ68" s="322"/>
      <c r="AK68" s="321"/>
      <c r="AL68" s="322"/>
      <c r="AM68" s="321"/>
      <c r="AN68" s="322"/>
      <c r="AO68" s="374"/>
      <c r="AP68" s="374"/>
      <c r="AQ68" s="374"/>
      <c r="AR68" s="374"/>
      <c r="AS68" s="374"/>
      <c r="AT68" s="373"/>
      <c r="AU68" s="320"/>
      <c r="AV68" s="374"/>
      <c r="AW68" s="374"/>
      <c r="AX68" s="320"/>
      <c r="AZ68" s="422"/>
      <c r="BA68" s="423"/>
      <c r="BB68" s="97"/>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row>
    <row r="69" spans="1:98" ht="14.25" customHeight="1" x14ac:dyDescent="0.25">
      <c r="A69" s="419"/>
      <c r="C69" s="415"/>
      <c r="D69" s="415"/>
      <c r="E69" s="416"/>
      <c r="F69" s="360"/>
      <c r="G69" s="356"/>
      <c r="H69" s="357"/>
      <c r="I69" s="358"/>
      <c r="J69" s="358"/>
      <c r="K69" s="358"/>
      <c r="L69" s="358"/>
      <c r="M69" s="358"/>
      <c r="N69" s="358"/>
      <c r="O69" s="358"/>
      <c r="P69" s="357"/>
      <c r="Q69" s="358"/>
      <c r="R69" s="357"/>
      <c r="S69" s="358"/>
      <c r="T69" s="357"/>
      <c r="U69" s="358"/>
      <c r="V69" s="357"/>
      <c r="W69" s="356"/>
      <c r="X69" s="357"/>
      <c r="Y69" s="356"/>
      <c r="Z69" s="357"/>
      <c r="AA69" s="356"/>
      <c r="AB69" s="357"/>
      <c r="AC69" s="356"/>
      <c r="AD69" s="357"/>
      <c r="AE69" s="356"/>
      <c r="AF69" s="417"/>
      <c r="AG69" s="356"/>
      <c r="AH69" s="357"/>
      <c r="AI69" s="358"/>
      <c r="AJ69" s="357"/>
      <c r="AK69" s="356"/>
      <c r="AL69" s="359"/>
      <c r="AM69" s="354"/>
      <c r="AN69" s="359"/>
      <c r="AZ69" s="422"/>
      <c r="BA69" s="423"/>
      <c r="BB69" s="97"/>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row>
    <row r="70" spans="1:98" ht="24" customHeight="1" x14ac:dyDescent="0.2">
      <c r="A70" s="419"/>
      <c r="B70" s="523"/>
      <c r="C70" s="418" t="s">
        <v>515</v>
      </c>
      <c r="D70" s="831" t="s">
        <v>516</v>
      </c>
      <c r="E70" s="832"/>
      <c r="F70" s="832"/>
      <c r="G70" s="832"/>
      <c r="H70" s="832"/>
      <c r="I70" s="832"/>
      <c r="J70" s="832"/>
      <c r="K70" s="832"/>
      <c r="L70" s="832"/>
      <c r="M70" s="832"/>
      <c r="N70" s="832"/>
      <c r="O70" s="832"/>
      <c r="P70" s="832"/>
      <c r="Q70" s="832"/>
      <c r="R70" s="832"/>
      <c r="S70" s="832"/>
      <c r="T70" s="832"/>
      <c r="U70" s="832"/>
      <c r="V70" s="832"/>
      <c r="W70" s="832"/>
      <c r="X70" s="832"/>
      <c r="Y70" s="832"/>
      <c r="Z70" s="832"/>
      <c r="AA70" s="832"/>
      <c r="AB70" s="832"/>
      <c r="AC70" s="832"/>
      <c r="AD70" s="832"/>
      <c r="AE70" s="832"/>
      <c r="AF70" s="832"/>
      <c r="AG70" s="832"/>
      <c r="AH70" s="832"/>
      <c r="AI70" s="832"/>
      <c r="AJ70" s="832"/>
      <c r="AK70" s="832"/>
      <c r="AL70" s="832"/>
      <c r="AM70" s="832"/>
      <c r="AN70" s="832"/>
      <c r="AO70" s="832"/>
      <c r="AP70" s="832"/>
      <c r="AQ70" s="832"/>
      <c r="AR70" s="832"/>
      <c r="AS70" s="832"/>
      <c r="AT70" s="832"/>
      <c r="AU70" s="832"/>
      <c r="AV70" s="832"/>
      <c r="AW70" s="832"/>
      <c r="AX70" s="833"/>
      <c r="AZ70" s="422"/>
      <c r="BA70" s="423"/>
      <c r="BB70" s="97"/>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row>
    <row r="71" spans="1:98" ht="18" customHeight="1" x14ac:dyDescent="0.2">
      <c r="A71" s="419"/>
      <c r="B71" s="420"/>
      <c r="C71" s="551"/>
      <c r="D71" s="789"/>
      <c r="E71" s="790"/>
      <c r="F71" s="790"/>
      <c r="G71" s="790"/>
      <c r="H71" s="790"/>
      <c r="I71" s="790"/>
      <c r="J71" s="790"/>
      <c r="K71" s="790"/>
      <c r="L71" s="790"/>
      <c r="M71" s="790"/>
      <c r="N71" s="790"/>
      <c r="O71" s="790"/>
      <c r="P71" s="790"/>
      <c r="Q71" s="790"/>
      <c r="R71" s="790"/>
      <c r="S71" s="790"/>
      <c r="T71" s="790"/>
      <c r="U71" s="790"/>
      <c r="V71" s="790"/>
      <c r="W71" s="790"/>
      <c r="X71" s="790"/>
      <c r="Y71" s="790"/>
      <c r="Z71" s="790"/>
      <c r="AA71" s="790"/>
      <c r="AB71" s="790"/>
      <c r="AC71" s="790"/>
      <c r="AD71" s="790"/>
      <c r="AE71" s="790"/>
      <c r="AF71" s="790"/>
      <c r="AG71" s="790"/>
      <c r="AH71" s="790"/>
      <c r="AI71" s="790"/>
      <c r="AJ71" s="790"/>
      <c r="AK71" s="790"/>
      <c r="AL71" s="790"/>
      <c r="AM71" s="790"/>
      <c r="AN71" s="790"/>
      <c r="AO71" s="790"/>
      <c r="AP71" s="790"/>
      <c r="AQ71" s="790"/>
      <c r="AR71" s="790"/>
      <c r="AS71" s="790"/>
      <c r="AT71" s="790"/>
      <c r="AU71" s="790"/>
      <c r="AV71" s="790"/>
      <c r="AW71" s="790"/>
      <c r="AX71" s="791"/>
      <c r="AZ71" s="422"/>
      <c r="BA71" s="423"/>
      <c r="BB71" s="97"/>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row>
    <row r="72" spans="1:98" ht="18" customHeight="1" x14ac:dyDescent="0.2">
      <c r="A72" s="419"/>
      <c r="B72" s="420"/>
      <c r="C72" s="552"/>
      <c r="D72" s="792"/>
      <c r="E72" s="793"/>
      <c r="F72" s="793"/>
      <c r="G72" s="793"/>
      <c r="H72" s="793"/>
      <c r="I72" s="793"/>
      <c r="J72" s="793"/>
      <c r="K72" s="793"/>
      <c r="L72" s="793"/>
      <c r="M72" s="793"/>
      <c r="N72" s="793"/>
      <c r="O72" s="793"/>
      <c r="P72" s="793"/>
      <c r="Q72" s="793"/>
      <c r="R72" s="793"/>
      <c r="S72" s="793"/>
      <c r="T72" s="793"/>
      <c r="U72" s="793"/>
      <c r="V72" s="793"/>
      <c r="W72" s="793"/>
      <c r="X72" s="793"/>
      <c r="Y72" s="793"/>
      <c r="Z72" s="793"/>
      <c r="AA72" s="793"/>
      <c r="AB72" s="793"/>
      <c r="AC72" s="793"/>
      <c r="AD72" s="793"/>
      <c r="AE72" s="793"/>
      <c r="AF72" s="793"/>
      <c r="AG72" s="793"/>
      <c r="AH72" s="793"/>
      <c r="AI72" s="793"/>
      <c r="AJ72" s="793"/>
      <c r="AK72" s="793"/>
      <c r="AL72" s="793"/>
      <c r="AM72" s="793"/>
      <c r="AN72" s="793"/>
      <c r="AO72" s="834"/>
      <c r="AP72" s="834"/>
      <c r="AQ72" s="834"/>
      <c r="AR72" s="834"/>
      <c r="AS72" s="834"/>
      <c r="AT72" s="834"/>
      <c r="AU72" s="834"/>
      <c r="AV72" s="834"/>
      <c r="AW72" s="834"/>
      <c r="AX72" s="835"/>
      <c r="AZ72" s="422"/>
      <c r="BA72" s="423"/>
      <c r="BB72" s="97"/>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row>
    <row r="73" spans="1:98" ht="18" customHeight="1" x14ac:dyDescent="0.2">
      <c r="A73" s="419"/>
      <c r="B73" s="420"/>
      <c r="C73" s="552"/>
      <c r="D73" s="792"/>
      <c r="E73" s="793"/>
      <c r="F73" s="793"/>
      <c r="G73" s="793"/>
      <c r="H73" s="793"/>
      <c r="I73" s="793"/>
      <c r="J73" s="793"/>
      <c r="K73" s="793"/>
      <c r="L73" s="793"/>
      <c r="M73" s="793"/>
      <c r="N73" s="793"/>
      <c r="O73" s="793"/>
      <c r="P73" s="793"/>
      <c r="Q73" s="793"/>
      <c r="R73" s="793"/>
      <c r="S73" s="793"/>
      <c r="T73" s="793"/>
      <c r="U73" s="793"/>
      <c r="V73" s="793"/>
      <c r="W73" s="793"/>
      <c r="X73" s="793"/>
      <c r="Y73" s="793"/>
      <c r="Z73" s="793"/>
      <c r="AA73" s="793"/>
      <c r="AB73" s="793"/>
      <c r="AC73" s="793"/>
      <c r="AD73" s="793"/>
      <c r="AE73" s="793"/>
      <c r="AF73" s="793"/>
      <c r="AG73" s="793"/>
      <c r="AH73" s="793"/>
      <c r="AI73" s="793"/>
      <c r="AJ73" s="793"/>
      <c r="AK73" s="793"/>
      <c r="AL73" s="793"/>
      <c r="AM73" s="793"/>
      <c r="AN73" s="793"/>
      <c r="AO73" s="834"/>
      <c r="AP73" s="834"/>
      <c r="AQ73" s="834"/>
      <c r="AR73" s="834"/>
      <c r="AS73" s="834"/>
      <c r="AT73" s="834"/>
      <c r="AU73" s="834"/>
      <c r="AV73" s="834"/>
      <c r="AW73" s="834"/>
      <c r="AX73" s="835"/>
      <c r="AZ73" s="422"/>
      <c r="BA73" s="423"/>
      <c r="BB73" s="97"/>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row>
    <row r="74" spans="1:98" ht="18" customHeight="1" x14ac:dyDescent="0.2">
      <c r="A74" s="419"/>
      <c r="B74" s="420"/>
      <c r="C74" s="552"/>
      <c r="D74" s="792"/>
      <c r="E74" s="793"/>
      <c r="F74" s="793"/>
      <c r="G74" s="793"/>
      <c r="H74" s="793"/>
      <c r="I74" s="793"/>
      <c r="J74" s="793"/>
      <c r="K74" s="793"/>
      <c r="L74" s="793"/>
      <c r="M74" s="793"/>
      <c r="N74" s="793"/>
      <c r="O74" s="793"/>
      <c r="P74" s="793"/>
      <c r="Q74" s="793"/>
      <c r="R74" s="793"/>
      <c r="S74" s="793"/>
      <c r="T74" s="793"/>
      <c r="U74" s="793"/>
      <c r="V74" s="793"/>
      <c r="W74" s="793"/>
      <c r="X74" s="793"/>
      <c r="Y74" s="793"/>
      <c r="Z74" s="793"/>
      <c r="AA74" s="793"/>
      <c r="AB74" s="793"/>
      <c r="AC74" s="793"/>
      <c r="AD74" s="793"/>
      <c r="AE74" s="793"/>
      <c r="AF74" s="793"/>
      <c r="AG74" s="793"/>
      <c r="AH74" s="793"/>
      <c r="AI74" s="793"/>
      <c r="AJ74" s="793"/>
      <c r="AK74" s="793"/>
      <c r="AL74" s="793"/>
      <c r="AM74" s="793"/>
      <c r="AN74" s="834"/>
      <c r="AO74" s="834"/>
      <c r="AP74" s="834"/>
      <c r="AQ74" s="834"/>
      <c r="AR74" s="834"/>
      <c r="AS74" s="834"/>
      <c r="AT74" s="834"/>
      <c r="AU74" s="834"/>
      <c r="AV74" s="834"/>
      <c r="AW74" s="834"/>
      <c r="AX74" s="835"/>
      <c r="AZ74" s="422"/>
      <c r="BA74" s="423"/>
      <c r="BB74" s="97"/>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row>
    <row r="75" spans="1:98" ht="18" customHeight="1" x14ac:dyDescent="0.2">
      <c r="A75" s="419"/>
      <c r="B75" s="420"/>
      <c r="C75" s="552"/>
      <c r="D75" s="792"/>
      <c r="E75" s="834"/>
      <c r="F75" s="834"/>
      <c r="G75" s="834"/>
      <c r="H75" s="834"/>
      <c r="I75" s="834"/>
      <c r="J75" s="834"/>
      <c r="K75" s="834"/>
      <c r="L75" s="834"/>
      <c r="M75" s="834"/>
      <c r="N75" s="834"/>
      <c r="O75" s="834"/>
      <c r="P75" s="834"/>
      <c r="Q75" s="834"/>
      <c r="R75" s="834"/>
      <c r="S75" s="834"/>
      <c r="T75" s="834"/>
      <c r="U75" s="834"/>
      <c r="V75" s="834"/>
      <c r="W75" s="834"/>
      <c r="X75" s="834"/>
      <c r="Y75" s="834"/>
      <c r="Z75" s="834"/>
      <c r="AA75" s="834"/>
      <c r="AB75" s="834"/>
      <c r="AC75" s="834"/>
      <c r="AD75" s="834"/>
      <c r="AE75" s="834"/>
      <c r="AF75" s="834"/>
      <c r="AG75" s="834"/>
      <c r="AH75" s="834"/>
      <c r="AI75" s="834"/>
      <c r="AJ75" s="834"/>
      <c r="AK75" s="834"/>
      <c r="AL75" s="834"/>
      <c r="AM75" s="834"/>
      <c r="AN75" s="834"/>
      <c r="AO75" s="834"/>
      <c r="AP75" s="834"/>
      <c r="AQ75" s="834"/>
      <c r="AR75" s="834"/>
      <c r="AS75" s="834"/>
      <c r="AT75" s="834"/>
      <c r="AU75" s="834"/>
      <c r="AV75" s="834"/>
      <c r="AW75" s="834"/>
      <c r="AX75" s="835"/>
      <c r="AZ75" s="422"/>
      <c r="BA75" s="423"/>
      <c r="BB75" s="97"/>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row>
    <row r="76" spans="1:98" ht="18" customHeight="1" x14ac:dyDescent="0.2">
      <c r="A76" s="419"/>
      <c r="B76" s="420"/>
      <c r="C76" s="552"/>
      <c r="D76" s="792"/>
      <c r="E76" s="834"/>
      <c r="F76" s="834"/>
      <c r="G76" s="834"/>
      <c r="H76" s="834"/>
      <c r="I76" s="834"/>
      <c r="J76" s="834"/>
      <c r="K76" s="834"/>
      <c r="L76" s="834"/>
      <c r="M76" s="834"/>
      <c r="N76" s="834"/>
      <c r="O76" s="834"/>
      <c r="P76" s="834"/>
      <c r="Q76" s="834"/>
      <c r="R76" s="834"/>
      <c r="S76" s="834"/>
      <c r="T76" s="834"/>
      <c r="U76" s="834"/>
      <c r="V76" s="834"/>
      <c r="W76" s="834"/>
      <c r="X76" s="834"/>
      <c r="Y76" s="834"/>
      <c r="Z76" s="834"/>
      <c r="AA76" s="834"/>
      <c r="AB76" s="834"/>
      <c r="AC76" s="834"/>
      <c r="AD76" s="834"/>
      <c r="AE76" s="834"/>
      <c r="AF76" s="834"/>
      <c r="AG76" s="834"/>
      <c r="AH76" s="834"/>
      <c r="AI76" s="834"/>
      <c r="AJ76" s="834"/>
      <c r="AK76" s="834"/>
      <c r="AL76" s="834"/>
      <c r="AM76" s="834"/>
      <c r="AN76" s="834"/>
      <c r="AO76" s="834"/>
      <c r="AP76" s="834"/>
      <c r="AQ76" s="834"/>
      <c r="AR76" s="834"/>
      <c r="AS76" s="834"/>
      <c r="AT76" s="834"/>
      <c r="AU76" s="834"/>
      <c r="AV76" s="834"/>
      <c r="AW76" s="834"/>
      <c r="AX76" s="835"/>
      <c r="AZ76" s="422"/>
      <c r="BA76" s="425"/>
      <c r="BB76" s="97"/>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row>
    <row r="77" spans="1:98" ht="18" customHeight="1" x14ac:dyDescent="0.2">
      <c r="C77" s="552"/>
      <c r="D77" s="792"/>
      <c r="E77" s="793"/>
      <c r="F77" s="793"/>
      <c r="G77" s="793"/>
      <c r="H77" s="793"/>
      <c r="I77" s="793"/>
      <c r="J77" s="793"/>
      <c r="K77" s="793"/>
      <c r="L77" s="793"/>
      <c r="M77" s="793"/>
      <c r="N77" s="793"/>
      <c r="O77" s="793"/>
      <c r="P77" s="793"/>
      <c r="Q77" s="793"/>
      <c r="R77" s="793"/>
      <c r="S77" s="793"/>
      <c r="T77" s="793"/>
      <c r="U77" s="793"/>
      <c r="V77" s="793"/>
      <c r="W77" s="793"/>
      <c r="X77" s="793"/>
      <c r="Y77" s="793"/>
      <c r="Z77" s="793"/>
      <c r="AA77" s="793"/>
      <c r="AB77" s="793"/>
      <c r="AC77" s="793"/>
      <c r="AD77" s="793"/>
      <c r="AE77" s="793"/>
      <c r="AF77" s="793"/>
      <c r="AG77" s="793"/>
      <c r="AH77" s="793"/>
      <c r="AI77" s="793"/>
      <c r="AJ77" s="793"/>
      <c r="AK77" s="793"/>
      <c r="AL77" s="793"/>
      <c r="AM77" s="793"/>
      <c r="AN77" s="834"/>
      <c r="AO77" s="834"/>
      <c r="AP77" s="834"/>
      <c r="AQ77" s="834"/>
      <c r="AR77" s="834"/>
      <c r="AS77" s="834"/>
      <c r="AT77" s="834"/>
      <c r="AU77" s="834"/>
      <c r="AV77" s="834"/>
      <c r="AW77" s="834"/>
      <c r="AX77" s="835"/>
    </row>
    <row r="78" spans="1:98" ht="18" customHeight="1" x14ac:dyDescent="0.2">
      <c r="C78" s="552"/>
      <c r="D78" s="792"/>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838"/>
      <c r="AM78" s="838"/>
      <c r="AN78" s="838"/>
      <c r="AO78" s="838"/>
      <c r="AP78" s="838"/>
      <c r="AQ78" s="838"/>
      <c r="AR78" s="838"/>
      <c r="AS78" s="838"/>
      <c r="AT78" s="838"/>
      <c r="AU78" s="838"/>
      <c r="AV78" s="838"/>
      <c r="AW78" s="838"/>
      <c r="AX78" s="839"/>
    </row>
    <row r="79" spans="1:98" ht="18" customHeight="1" x14ac:dyDescent="0.2">
      <c r="C79" s="552"/>
      <c r="D79" s="792"/>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838"/>
      <c r="AP79" s="838"/>
      <c r="AQ79" s="838"/>
      <c r="AR79" s="838"/>
      <c r="AS79" s="838"/>
      <c r="AT79" s="838"/>
      <c r="AU79" s="838"/>
      <c r="AV79" s="838"/>
      <c r="AW79" s="838"/>
      <c r="AX79" s="839"/>
    </row>
    <row r="80" spans="1:98" ht="18" customHeight="1" x14ac:dyDescent="0.2">
      <c r="C80" s="552"/>
      <c r="D80" s="792"/>
      <c r="E80" s="834"/>
      <c r="F80" s="834"/>
      <c r="G80" s="834"/>
      <c r="H80" s="834"/>
      <c r="I80" s="834"/>
      <c r="J80" s="834"/>
      <c r="K80" s="834"/>
      <c r="L80" s="834"/>
      <c r="M80" s="834"/>
      <c r="N80" s="834"/>
      <c r="O80" s="834"/>
      <c r="P80" s="834"/>
      <c r="Q80" s="834"/>
      <c r="R80" s="834"/>
      <c r="S80" s="834"/>
      <c r="T80" s="834"/>
      <c r="U80" s="834"/>
      <c r="V80" s="834"/>
      <c r="W80" s="834"/>
      <c r="X80" s="834"/>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5"/>
    </row>
    <row r="81" spans="1:98" ht="18" customHeight="1" x14ac:dyDescent="0.2">
      <c r="C81" s="552"/>
      <c r="D81" s="792"/>
      <c r="E81" s="834"/>
      <c r="F81" s="834"/>
      <c r="G81" s="834"/>
      <c r="H81" s="834"/>
      <c r="I81" s="834"/>
      <c r="J81" s="834"/>
      <c r="K81" s="834"/>
      <c r="L81" s="834"/>
      <c r="M81" s="834"/>
      <c r="N81" s="834"/>
      <c r="O81" s="834"/>
      <c r="P81" s="834"/>
      <c r="Q81" s="834"/>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834"/>
      <c r="AP81" s="834"/>
      <c r="AQ81" s="834"/>
      <c r="AR81" s="834"/>
      <c r="AS81" s="834"/>
      <c r="AT81" s="834"/>
      <c r="AU81" s="834"/>
      <c r="AV81" s="834"/>
      <c r="AW81" s="834"/>
      <c r="AX81" s="835"/>
    </row>
    <row r="82" spans="1:98" ht="18" customHeight="1" x14ac:dyDescent="0.2">
      <c r="C82" s="552"/>
      <c r="D82" s="792"/>
      <c r="E82" s="793"/>
      <c r="F82" s="793"/>
      <c r="G82" s="793"/>
      <c r="H82" s="793"/>
      <c r="I82" s="793"/>
      <c r="J82" s="793"/>
      <c r="K82" s="793"/>
      <c r="L82" s="793"/>
      <c r="M82" s="793"/>
      <c r="N82" s="793"/>
      <c r="O82" s="793"/>
      <c r="P82" s="793"/>
      <c r="Q82" s="793"/>
      <c r="R82" s="793"/>
      <c r="S82" s="793"/>
      <c r="T82" s="793"/>
      <c r="U82" s="793"/>
      <c r="V82" s="793"/>
      <c r="W82" s="793"/>
      <c r="X82" s="793"/>
      <c r="Y82" s="793"/>
      <c r="Z82" s="793"/>
      <c r="AA82" s="793"/>
      <c r="AB82" s="793"/>
      <c r="AC82" s="793"/>
      <c r="AD82" s="793"/>
      <c r="AE82" s="793"/>
      <c r="AF82" s="793"/>
      <c r="AG82" s="793"/>
      <c r="AH82" s="793"/>
      <c r="AI82" s="793"/>
      <c r="AJ82" s="793"/>
      <c r="AK82" s="793"/>
      <c r="AL82" s="793"/>
      <c r="AM82" s="793"/>
      <c r="AN82" s="793"/>
      <c r="AO82" s="834"/>
      <c r="AP82" s="834"/>
      <c r="AQ82" s="834"/>
      <c r="AR82" s="834"/>
      <c r="AS82" s="834"/>
      <c r="AT82" s="834"/>
      <c r="AU82" s="834"/>
      <c r="AV82" s="834"/>
      <c r="AW82" s="834"/>
      <c r="AX82" s="835"/>
    </row>
    <row r="83" spans="1:98" ht="18" customHeight="1" x14ac:dyDescent="0.2">
      <c r="C83" s="552"/>
      <c r="D83" s="792"/>
      <c r="E83" s="793"/>
      <c r="F83" s="793"/>
      <c r="G83" s="793"/>
      <c r="H83" s="793"/>
      <c r="I83" s="793"/>
      <c r="J83" s="793"/>
      <c r="K83" s="793"/>
      <c r="L83" s="793"/>
      <c r="M83" s="793"/>
      <c r="N83" s="793"/>
      <c r="O83" s="793"/>
      <c r="P83" s="793"/>
      <c r="Q83" s="793"/>
      <c r="R83" s="793"/>
      <c r="S83" s="793"/>
      <c r="T83" s="793"/>
      <c r="U83" s="793"/>
      <c r="V83" s="793"/>
      <c r="W83" s="793"/>
      <c r="X83" s="793"/>
      <c r="Y83" s="793"/>
      <c r="Z83" s="793"/>
      <c r="AA83" s="793"/>
      <c r="AB83" s="793"/>
      <c r="AC83" s="793"/>
      <c r="AD83" s="793"/>
      <c r="AE83" s="793"/>
      <c r="AF83" s="793"/>
      <c r="AG83" s="793"/>
      <c r="AH83" s="793"/>
      <c r="AI83" s="793"/>
      <c r="AJ83" s="793"/>
      <c r="AK83" s="793"/>
      <c r="AL83" s="793"/>
      <c r="AM83" s="793"/>
      <c r="AN83" s="793"/>
      <c r="AO83" s="834"/>
      <c r="AP83" s="834"/>
      <c r="AQ83" s="834"/>
      <c r="AR83" s="834"/>
      <c r="AS83" s="834"/>
      <c r="AT83" s="834"/>
      <c r="AU83" s="834"/>
      <c r="AV83" s="834"/>
      <c r="AW83" s="834"/>
      <c r="AX83" s="835"/>
    </row>
    <row r="84" spans="1:98" ht="18" customHeight="1" x14ac:dyDescent="0.2">
      <c r="C84" s="552"/>
      <c r="D84" s="792"/>
      <c r="E84" s="793"/>
      <c r="F84" s="793"/>
      <c r="G84" s="793"/>
      <c r="H84" s="793"/>
      <c r="I84" s="793"/>
      <c r="J84" s="793"/>
      <c r="K84" s="793"/>
      <c r="L84" s="793"/>
      <c r="M84" s="793"/>
      <c r="N84" s="793"/>
      <c r="O84" s="793"/>
      <c r="P84" s="793"/>
      <c r="Q84" s="793"/>
      <c r="R84" s="793"/>
      <c r="S84" s="793"/>
      <c r="T84" s="793"/>
      <c r="U84" s="793"/>
      <c r="V84" s="793"/>
      <c r="W84" s="793"/>
      <c r="X84" s="793"/>
      <c r="Y84" s="793"/>
      <c r="Z84" s="793"/>
      <c r="AA84" s="793"/>
      <c r="AB84" s="793"/>
      <c r="AC84" s="793"/>
      <c r="AD84" s="793"/>
      <c r="AE84" s="793"/>
      <c r="AF84" s="793"/>
      <c r="AG84" s="793"/>
      <c r="AH84" s="793"/>
      <c r="AI84" s="793"/>
      <c r="AJ84" s="793"/>
      <c r="AK84" s="793"/>
      <c r="AL84" s="793"/>
      <c r="AM84" s="793"/>
      <c r="AN84" s="793"/>
      <c r="AO84" s="834"/>
      <c r="AP84" s="834"/>
      <c r="AQ84" s="834"/>
      <c r="AR84" s="834"/>
      <c r="AS84" s="834"/>
      <c r="AT84" s="834"/>
      <c r="AU84" s="834"/>
      <c r="AV84" s="834"/>
      <c r="AW84" s="834"/>
      <c r="AX84" s="835"/>
    </row>
    <row r="85" spans="1:98" ht="18" customHeight="1" x14ac:dyDescent="0.2">
      <c r="C85" s="552"/>
      <c r="D85" s="792"/>
      <c r="E85" s="793"/>
      <c r="F85" s="793"/>
      <c r="G85" s="793"/>
      <c r="H85" s="793"/>
      <c r="I85" s="793"/>
      <c r="J85" s="793"/>
      <c r="K85" s="793"/>
      <c r="L85" s="793"/>
      <c r="M85" s="793"/>
      <c r="N85" s="793"/>
      <c r="O85" s="793"/>
      <c r="P85" s="793"/>
      <c r="Q85" s="793"/>
      <c r="R85" s="793"/>
      <c r="S85" s="793"/>
      <c r="T85" s="793"/>
      <c r="U85" s="793"/>
      <c r="V85" s="793"/>
      <c r="W85" s="793"/>
      <c r="X85" s="793"/>
      <c r="Y85" s="793"/>
      <c r="Z85" s="793"/>
      <c r="AA85" s="793"/>
      <c r="AB85" s="793"/>
      <c r="AC85" s="793"/>
      <c r="AD85" s="793"/>
      <c r="AE85" s="793"/>
      <c r="AF85" s="793"/>
      <c r="AG85" s="793"/>
      <c r="AH85" s="793"/>
      <c r="AI85" s="793"/>
      <c r="AJ85" s="793"/>
      <c r="AK85" s="793"/>
      <c r="AL85" s="793"/>
      <c r="AM85" s="793"/>
      <c r="AN85" s="793"/>
      <c r="AO85" s="834"/>
      <c r="AP85" s="834"/>
      <c r="AQ85" s="834"/>
      <c r="AR85" s="834"/>
      <c r="AS85" s="834"/>
      <c r="AT85" s="834"/>
      <c r="AU85" s="834"/>
      <c r="AV85" s="834"/>
      <c r="AW85" s="834"/>
      <c r="AX85" s="835"/>
    </row>
    <row r="86" spans="1:98" ht="18" customHeight="1" x14ac:dyDescent="0.2">
      <c r="C86" s="552"/>
      <c r="D86" s="792"/>
      <c r="E86" s="793"/>
      <c r="F86" s="793"/>
      <c r="G86" s="793"/>
      <c r="H86" s="793"/>
      <c r="I86" s="793"/>
      <c r="J86" s="793"/>
      <c r="K86" s="793"/>
      <c r="L86" s="793"/>
      <c r="M86" s="793"/>
      <c r="N86" s="793"/>
      <c r="O86" s="793"/>
      <c r="P86" s="793"/>
      <c r="Q86" s="793"/>
      <c r="R86" s="793"/>
      <c r="S86" s="793"/>
      <c r="T86" s="793"/>
      <c r="U86" s="793"/>
      <c r="V86" s="793"/>
      <c r="W86" s="793"/>
      <c r="X86" s="793"/>
      <c r="Y86" s="793"/>
      <c r="Z86" s="793"/>
      <c r="AA86" s="793"/>
      <c r="AB86" s="793"/>
      <c r="AC86" s="793"/>
      <c r="AD86" s="793"/>
      <c r="AE86" s="793"/>
      <c r="AF86" s="793"/>
      <c r="AG86" s="793"/>
      <c r="AH86" s="793"/>
      <c r="AI86" s="793"/>
      <c r="AJ86" s="793"/>
      <c r="AK86" s="793"/>
      <c r="AL86" s="793"/>
      <c r="AM86" s="793"/>
      <c r="AN86" s="793"/>
      <c r="AO86" s="834"/>
      <c r="AP86" s="834"/>
      <c r="AQ86" s="834"/>
      <c r="AR86" s="834"/>
      <c r="AS86" s="834"/>
      <c r="AT86" s="834"/>
      <c r="AU86" s="834"/>
      <c r="AV86" s="834"/>
      <c r="AW86" s="834"/>
      <c r="AX86" s="835"/>
    </row>
    <row r="87" spans="1:98" ht="18" customHeight="1" x14ac:dyDescent="0.2">
      <c r="C87" s="552"/>
      <c r="D87" s="792"/>
      <c r="E87" s="793"/>
      <c r="F87" s="793"/>
      <c r="G87" s="793"/>
      <c r="H87" s="793"/>
      <c r="I87" s="793"/>
      <c r="J87" s="793"/>
      <c r="K87" s="793"/>
      <c r="L87" s="793"/>
      <c r="M87" s="793"/>
      <c r="N87" s="793"/>
      <c r="O87" s="793"/>
      <c r="P87" s="793"/>
      <c r="Q87" s="793"/>
      <c r="R87" s="793"/>
      <c r="S87" s="793"/>
      <c r="T87" s="793"/>
      <c r="U87" s="793"/>
      <c r="V87" s="793"/>
      <c r="W87" s="793"/>
      <c r="X87" s="793"/>
      <c r="Y87" s="793"/>
      <c r="Z87" s="793"/>
      <c r="AA87" s="793"/>
      <c r="AB87" s="793"/>
      <c r="AC87" s="793"/>
      <c r="AD87" s="793"/>
      <c r="AE87" s="793"/>
      <c r="AF87" s="793"/>
      <c r="AG87" s="793"/>
      <c r="AH87" s="793"/>
      <c r="AI87" s="793"/>
      <c r="AJ87" s="793"/>
      <c r="AK87" s="793"/>
      <c r="AL87" s="793"/>
      <c r="AM87" s="793"/>
      <c r="AN87" s="834"/>
      <c r="AO87" s="834"/>
      <c r="AP87" s="834"/>
      <c r="AQ87" s="834"/>
      <c r="AR87" s="834"/>
      <c r="AS87" s="834"/>
      <c r="AT87" s="834"/>
      <c r="AU87" s="834"/>
      <c r="AV87" s="834"/>
      <c r="AW87" s="834"/>
      <c r="AX87" s="835"/>
    </row>
    <row r="88" spans="1:98" ht="18" customHeight="1" x14ac:dyDescent="0.2">
      <c r="C88" s="552"/>
      <c r="D88" s="792"/>
      <c r="E88" s="834"/>
      <c r="F88" s="834"/>
      <c r="G88" s="834"/>
      <c r="H88" s="834"/>
      <c r="I88" s="834"/>
      <c r="J88" s="834"/>
      <c r="K88" s="834"/>
      <c r="L88" s="834"/>
      <c r="M88" s="834"/>
      <c r="N88" s="834"/>
      <c r="O88" s="834"/>
      <c r="P88" s="834"/>
      <c r="Q88" s="834"/>
      <c r="R88" s="834"/>
      <c r="S88" s="834"/>
      <c r="T88" s="834"/>
      <c r="U88" s="834"/>
      <c r="V88" s="834"/>
      <c r="W88" s="834"/>
      <c r="X88" s="834"/>
      <c r="Y88" s="834"/>
      <c r="Z88" s="834"/>
      <c r="AA88" s="834"/>
      <c r="AB88" s="834"/>
      <c r="AC88" s="834"/>
      <c r="AD88" s="834"/>
      <c r="AE88" s="834"/>
      <c r="AF88" s="834"/>
      <c r="AG88" s="834"/>
      <c r="AH88" s="834"/>
      <c r="AI88" s="834"/>
      <c r="AJ88" s="834"/>
      <c r="AK88" s="834"/>
      <c r="AL88" s="834"/>
      <c r="AM88" s="834"/>
      <c r="AN88" s="834"/>
      <c r="AO88" s="834"/>
      <c r="AP88" s="834"/>
      <c r="AQ88" s="834"/>
      <c r="AR88" s="834"/>
      <c r="AS88" s="834"/>
      <c r="AT88" s="834"/>
      <c r="AU88" s="834"/>
      <c r="AV88" s="834"/>
      <c r="AW88" s="834"/>
      <c r="AX88" s="835"/>
    </row>
    <row r="89" spans="1:98" ht="18" customHeight="1" x14ac:dyDescent="0.2">
      <c r="C89" s="552"/>
      <c r="D89" s="792"/>
      <c r="E89" s="834"/>
      <c r="F89" s="834"/>
      <c r="G89" s="834"/>
      <c r="H89" s="834"/>
      <c r="I89" s="834"/>
      <c r="J89" s="834"/>
      <c r="K89" s="834"/>
      <c r="L89" s="834"/>
      <c r="M89" s="834"/>
      <c r="N89" s="834"/>
      <c r="O89" s="834"/>
      <c r="P89" s="834"/>
      <c r="Q89" s="834"/>
      <c r="R89" s="834"/>
      <c r="S89" s="834"/>
      <c r="T89" s="834"/>
      <c r="U89" s="834"/>
      <c r="V89" s="834"/>
      <c r="W89" s="834"/>
      <c r="X89" s="834"/>
      <c r="Y89" s="834"/>
      <c r="Z89" s="834"/>
      <c r="AA89" s="834"/>
      <c r="AB89" s="834"/>
      <c r="AC89" s="834"/>
      <c r="AD89" s="834"/>
      <c r="AE89" s="834"/>
      <c r="AF89" s="834"/>
      <c r="AG89" s="834"/>
      <c r="AH89" s="834"/>
      <c r="AI89" s="834"/>
      <c r="AJ89" s="834"/>
      <c r="AK89" s="834"/>
      <c r="AL89" s="834"/>
      <c r="AM89" s="834"/>
      <c r="AN89" s="834"/>
      <c r="AO89" s="834"/>
      <c r="AP89" s="834"/>
      <c r="AQ89" s="834"/>
      <c r="AR89" s="834"/>
      <c r="AS89" s="834"/>
      <c r="AT89" s="834"/>
      <c r="AU89" s="834"/>
      <c r="AV89" s="834"/>
      <c r="AW89" s="834"/>
      <c r="AX89" s="835"/>
    </row>
    <row r="90" spans="1:98" ht="18" customHeight="1" x14ac:dyDescent="0.2">
      <c r="C90" s="552"/>
      <c r="D90" s="792"/>
      <c r="E90" s="793"/>
      <c r="F90" s="793"/>
      <c r="G90" s="793"/>
      <c r="H90" s="793"/>
      <c r="I90" s="793"/>
      <c r="J90" s="793"/>
      <c r="K90" s="793"/>
      <c r="L90" s="793"/>
      <c r="M90" s="793"/>
      <c r="N90" s="793"/>
      <c r="O90" s="793"/>
      <c r="P90" s="793"/>
      <c r="Q90" s="793"/>
      <c r="R90" s="793"/>
      <c r="S90" s="793"/>
      <c r="T90" s="793"/>
      <c r="U90" s="793"/>
      <c r="V90" s="793"/>
      <c r="W90" s="793"/>
      <c r="X90" s="793"/>
      <c r="Y90" s="793"/>
      <c r="Z90" s="793"/>
      <c r="AA90" s="793"/>
      <c r="AB90" s="793"/>
      <c r="AC90" s="793"/>
      <c r="AD90" s="793"/>
      <c r="AE90" s="793"/>
      <c r="AF90" s="793"/>
      <c r="AG90" s="793"/>
      <c r="AH90" s="793"/>
      <c r="AI90" s="793"/>
      <c r="AJ90" s="793"/>
      <c r="AK90" s="793"/>
      <c r="AL90" s="793"/>
      <c r="AM90" s="793"/>
      <c r="AN90" s="834"/>
      <c r="AO90" s="834"/>
      <c r="AP90" s="834"/>
      <c r="AQ90" s="834"/>
      <c r="AR90" s="834"/>
      <c r="AS90" s="834"/>
      <c r="AT90" s="834"/>
      <c r="AU90" s="834"/>
      <c r="AV90" s="834"/>
      <c r="AW90" s="834"/>
      <c r="AX90" s="835"/>
      <c r="AZ90" s="702"/>
      <c r="BA90" s="702"/>
      <c r="BB90" s="702"/>
      <c r="BC90" s="702"/>
      <c r="BD90" s="702"/>
      <c r="BE90" s="702"/>
      <c r="BF90" s="702"/>
      <c r="BG90" s="702"/>
      <c r="BH90" s="702"/>
      <c r="BI90" s="702"/>
      <c r="BJ90" s="702"/>
      <c r="BK90" s="702"/>
      <c r="BL90" s="702"/>
      <c r="BM90" s="702"/>
      <c r="BN90" s="702"/>
      <c r="BO90" s="702"/>
      <c r="BP90" s="702"/>
      <c r="BQ90" s="702"/>
      <c r="BR90" s="702"/>
      <c r="BS90" s="702"/>
      <c r="BT90" s="702"/>
      <c r="BU90" s="702"/>
      <c r="BV90" s="702"/>
      <c r="BW90" s="702"/>
      <c r="BX90" s="702"/>
      <c r="BY90" s="702"/>
      <c r="BZ90" s="702"/>
      <c r="CA90" s="702"/>
      <c r="CB90" s="702"/>
      <c r="CC90" s="702"/>
      <c r="CD90" s="702"/>
      <c r="CE90" s="702"/>
      <c r="CF90" s="702"/>
      <c r="CG90" s="702"/>
      <c r="CH90" s="702"/>
      <c r="CI90" s="702"/>
      <c r="CJ90" s="702"/>
      <c r="CK90" s="702"/>
      <c r="CL90" s="702"/>
      <c r="CM90" s="702"/>
      <c r="CN90" s="702"/>
      <c r="CO90" s="702"/>
      <c r="CP90" s="702"/>
      <c r="CQ90" s="702"/>
      <c r="CR90" s="702"/>
      <c r="CS90" s="702"/>
      <c r="CT90" s="702"/>
    </row>
    <row r="91" spans="1:98" ht="18" customHeight="1" x14ac:dyDescent="0.2">
      <c r="C91" s="552"/>
      <c r="D91" s="792"/>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K91" s="834"/>
      <c r="AL91" s="834"/>
      <c r="AM91" s="834"/>
      <c r="AN91" s="834"/>
      <c r="AO91" s="834"/>
      <c r="AP91" s="834"/>
      <c r="AQ91" s="834"/>
      <c r="AR91" s="834"/>
      <c r="AS91" s="834"/>
      <c r="AT91" s="834"/>
      <c r="AU91" s="834"/>
      <c r="AV91" s="834"/>
      <c r="AW91" s="834"/>
      <c r="AX91" s="835"/>
      <c r="AZ91" s="702"/>
      <c r="BA91" s="702"/>
      <c r="BB91" s="702"/>
      <c r="BC91" s="702"/>
      <c r="BD91" s="702"/>
      <c r="BE91" s="702"/>
      <c r="BF91" s="702"/>
      <c r="BG91" s="702"/>
      <c r="BH91" s="702"/>
      <c r="BI91" s="702"/>
      <c r="BJ91" s="702"/>
      <c r="BK91" s="702"/>
      <c r="BL91" s="702"/>
      <c r="BM91" s="702"/>
      <c r="BN91" s="702"/>
      <c r="BO91" s="702"/>
      <c r="BP91" s="702"/>
      <c r="BQ91" s="702"/>
      <c r="BR91" s="702"/>
      <c r="BS91" s="702"/>
      <c r="BT91" s="702"/>
      <c r="BU91" s="702"/>
      <c r="BV91" s="702"/>
      <c r="BW91" s="702"/>
      <c r="BX91" s="702"/>
      <c r="BY91" s="702"/>
      <c r="BZ91" s="702"/>
      <c r="CA91" s="702"/>
      <c r="CB91" s="702"/>
      <c r="CC91" s="702"/>
      <c r="CD91" s="702"/>
      <c r="CE91" s="702"/>
      <c r="CF91" s="702"/>
      <c r="CG91" s="702"/>
      <c r="CH91" s="702"/>
      <c r="CI91" s="702"/>
      <c r="CJ91" s="702"/>
      <c r="CK91" s="702"/>
      <c r="CL91" s="702"/>
      <c r="CM91" s="702"/>
      <c r="CN91" s="702"/>
      <c r="CO91" s="702"/>
      <c r="CP91" s="702"/>
      <c r="CQ91" s="702"/>
      <c r="CR91" s="702"/>
      <c r="CS91" s="702"/>
      <c r="CT91" s="702"/>
    </row>
    <row r="92" spans="1:98" ht="18" customHeight="1" x14ac:dyDescent="0.2">
      <c r="C92" s="553"/>
      <c r="D92" s="799"/>
      <c r="E92" s="836"/>
      <c r="F92" s="836"/>
      <c r="G92" s="836"/>
      <c r="H92" s="836"/>
      <c r="I92" s="836"/>
      <c r="J92" s="836"/>
      <c r="K92" s="836"/>
      <c r="L92" s="836"/>
      <c r="M92" s="836"/>
      <c r="N92" s="836"/>
      <c r="O92" s="836"/>
      <c r="P92" s="836"/>
      <c r="Q92" s="836"/>
      <c r="R92" s="836"/>
      <c r="S92" s="836"/>
      <c r="T92" s="836"/>
      <c r="U92" s="836"/>
      <c r="V92" s="836"/>
      <c r="W92" s="836"/>
      <c r="X92" s="836"/>
      <c r="Y92" s="836"/>
      <c r="Z92" s="836"/>
      <c r="AA92" s="836"/>
      <c r="AB92" s="836"/>
      <c r="AC92" s="836"/>
      <c r="AD92" s="836"/>
      <c r="AE92" s="836"/>
      <c r="AF92" s="836"/>
      <c r="AG92" s="836"/>
      <c r="AH92" s="836"/>
      <c r="AI92" s="836"/>
      <c r="AJ92" s="836"/>
      <c r="AK92" s="836"/>
      <c r="AL92" s="836"/>
      <c r="AM92" s="836"/>
      <c r="AN92" s="836"/>
      <c r="AO92" s="836"/>
      <c r="AP92" s="836"/>
      <c r="AQ92" s="836"/>
      <c r="AR92" s="836"/>
      <c r="AS92" s="836"/>
      <c r="AT92" s="836"/>
      <c r="AU92" s="836"/>
      <c r="AV92" s="836"/>
      <c r="AW92" s="836"/>
      <c r="AX92" s="837"/>
      <c r="AY92" s="702"/>
      <c r="AZ92" s="702"/>
      <c r="BA92" s="702"/>
      <c r="BB92" s="702"/>
      <c r="BC92" s="702"/>
      <c r="BD92" s="702"/>
      <c r="BE92" s="702"/>
      <c r="BF92" s="702"/>
      <c r="BG92" s="702"/>
      <c r="BH92" s="702"/>
      <c r="BI92" s="702"/>
      <c r="BJ92" s="702"/>
      <c r="BK92" s="702"/>
      <c r="BL92" s="702"/>
      <c r="BM92" s="702"/>
      <c r="BN92" s="702"/>
      <c r="BO92" s="702"/>
      <c r="BP92" s="702"/>
      <c r="BQ92" s="702"/>
      <c r="BR92" s="702"/>
      <c r="BS92" s="702"/>
      <c r="BT92" s="702"/>
      <c r="BU92" s="702"/>
      <c r="BV92" s="702"/>
      <c r="BW92" s="702"/>
      <c r="BX92" s="702"/>
      <c r="BY92" s="702"/>
      <c r="BZ92" s="702"/>
      <c r="CA92" s="702"/>
      <c r="CB92" s="702"/>
      <c r="CC92" s="702"/>
      <c r="CD92" s="702"/>
      <c r="CE92" s="702"/>
      <c r="CF92" s="702"/>
      <c r="CG92" s="702"/>
      <c r="CH92" s="702"/>
      <c r="CI92" s="702"/>
      <c r="CJ92" s="702"/>
      <c r="CK92" s="702"/>
      <c r="CL92" s="702"/>
      <c r="CM92" s="702"/>
      <c r="CN92" s="702"/>
      <c r="CO92" s="702"/>
      <c r="CP92" s="702"/>
      <c r="CQ92" s="702"/>
      <c r="CR92" s="702"/>
      <c r="CS92" s="702"/>
      <c r="CT92" s="702"/>
    </row>
    <row r="93" spans="1:98" ht="16.5" customHeight="1" x14ac:dyDescent="0.2">
      <c r="AY93" s="702"/>
      <c r="AZ93" s="702"/>
      <c r="BA93" s="702"/>
      <c r="BB93" s="702"/>
      <c r="BC93" s="702"/>
      <c r="BD93" s="702"/>
      <c r="BE93" s="702"/>
      <c r="BF93" s="702"/>
      <c r="BG93" s="702"/>
      <c r="BH93" s="702"/>
      <c r="BI93" s="702"/>
      <c r="BJ93" s="702"/>
      <c r="BK93" s="702"/>
      <c r="BL93" s="702"/>
      <c r="BM93" s="702"/>
      <c r="BN93" s="702"/>
      <c r="BO93" s="702"/>
      <c r="BP93" s="702"/>
      <c r="BQ93" s="702"/>
      <c r="BR93" s="702"/>
      <c r="BS93" s="702"/>
      <c r="BT93" s="702"/>
      <c r="BU93" s="702"/>
      <c r="BV93" s="702"/>
      <c r="BW93" s="702"/>
      <c r="BX93" s="702"/>
      <c r="BY93" s="702"/>
      <c r="BZ93" s="702"/>
      <c r="CA93" s="702"/>
      <c r="CB93" s="702"/>
      <c r="CC93" s="702"/>
      <c r="CD93" s="702"/>
      <c r="CE93" s="702"/>
      <c r="CF93" s="702"/>
      <c r="CG93" s="702"/>
      <c r="CH93" s="702"/>
      <c r="CI93" s="702"/>
      <c r="CJ93" s="702"/>
      <c r="CK93" s="702"/>
      <c r="CL93" s="702"/>
      <c r="CM93" s="702"/>
      <c r="CN93" s="702"/>
      <c r="CO93" s="702"/>
      <c r="CP93" s="702"/>
      <c r="CQ93" s="702"/>
      <c r="CR93" s="702"/>
      <c r="CS93" s="702"/>
      <c r="CT93" s="702"/>
    </row>
    <row r="94" spans="1:98" x14ac:dyDescent="0.2">
      <c r="A94" s="428"/>
      <c r="B94" s="420"/>
      <c r="AY94" s="702"/>
    </row>
    <row r="95" spans="1:98" x14ac:dyDescent="0.2">
      <c r="A95" s="428"/>
      <c r="B95" s="420"/>
    </row>
    <row r="96" spans="1:98" x14ac:dyDescent="0.2">
      <c r="A96" s="428"/>
      <c r="B96" s="420"/>
    </row>
  </sheetData>
  <sheetProtection sheet="1" objects="1" scenarios="1" formatCells="0" formatColumns="0" formatRows="0" insertColumns="0"/>
  <mergeCells count="49">
    <mergeCell ref="D92:AX92"/>
    <mergeCell ref="D77:AX77"/>
    <mergeCell ref="D89:AX89"/>
    <mergeCell ref="D82:AX82"/>
    <mergeCell ref="D91:AX91"/>
    <mergeCell ref="D88:AX88"/>
    <mergeCell ref="D86:AX86"/>
    <mergeCell ref="D78:AX78"/>
    <mergeCell ref="D79:AX79"/>
    <mergeCell ref="D83:AX83"/>
    <mergeCell ref="D90:AX90"/>
    <mergeCell ref="D80:AX80"/>
    <mergeCell ref="D81:AX81"/>
    <mergeCell ref="AA67:AJ67"/>
    <mergeCell ref="D70:AX70"/>
    <mergeCell ref="D87:AX87"/>
    <mergeCell ref="D85:AX85"/>
    <mergeCell ref="D71:AX71"/>
    <mergeCell ref="D72:AX72"/>
    <mergeCell ref="D76:AX76"/>
    <mergeCell ref="D75:AX75"/>
    <mergeCell ref="D84:AX84"/>
    <mergeCell ref="D73:AX73"/>
    <mergeCell ref="D74:AX74"/>
    <mergeCell ref="C5:AM5"/>
    <mergeCell ref="D47:AX47"/>
    <mergeCell ref="D43:AX43"/>
    <mergeCell ref="D46:AX46"/>
    <mergeCell ref="F53:H54"/>
    <mergeCell ref="U54:V55"/>
    <mergeCell ref="L55:N63"/>
    <mergeCell ref="F57:H57"/>
    <mergeCell ref="E51:H51"/>
    <mergeCell ref="D48:AX48"/>
    <mergeCell ref="F49:L49"/>
    <mergeCell ref="L50:P50"/>
    <mergeCell ref="Q55:S63"/>
    <mergeCell ref="AA55:AJ55"/>
    <mergeCell ref="AA57:AJ57"/>
    <mergeCell ref="D42:AX42"/>
    <mergeCell ref="AA59:AJ59"/>
    <mergeCell ref="AA61:AJ61"/>
    <mergeCell ref="D45:AX45"/>
    <mergeCell ref="D44:AX44"/>
    <mergeCell ref="AA63:AJ63"/>
    <mergeCell ref="F64:H66"/>
    <mergeCell ref="AB64:AJ64"/>
    <mergeCell ref="N65:P66"/>
    <mergeCell ref="AA65:AJ65"/>
  </mergeCells>
  <phoneticPr fontId="10" type="noConversion"/>
  <conditionalFormatting sqref="F10 AT10 H10 AV10 L10 Z10 R10 AF10 AL10 J10 N10 P10 T10 V10 AB10 AD10 AH10 AJ10 AR10 X10 AN10 AP10">
    <cfRule type="cellIs" dxfId="148" priority="244" stopIfTrue="1" operator="lessThan">
      <formula>F8+F9-(0.01*(F8+F9))</formula>
    </cfRule>
  </conditionalFormatting>
  <conditionalFormatting sqref="F30">
    <cfRule type="cellIs" dxfId="147" priority="219" stopIfTrue="1" operator="lessThan">
      <formula>0.99*(F28-F29)</formula>
    </cfRule>
  </conditionalFormatting>
  <conditionalFormatting sqref="F28">
    <cfRule type="cellIs" dxfId="146" priority="220" stopIfTrue="1" operator="lessThan">
      <formula>0.99*(F12+F24+F25+F26-F27)</formula>
    </cfRule>
  </conditionalFormatting>
  <conditionalFormatting sqref="H30 AT30 AV30 J30 L30 N30 P30 AL30 AN30 AP30 AR30">
    <cfRule type="cellIs" dxfId="145" priority="217" stopIfTrue="1" operator="lessThan">
      <formula>0.99*(H28-H29)</formula>
    </cfRule>
  </conditionalFormatting>
  <conditionalFormatting sqref="H28 AT28 AV28 J28 L28 N28 P28 AL28 AN28 AP28 AR28">
    <cfRule type="cellIs" dxfId="144" priority="218" stopIfTrue="1" operator="lessThan">
      <formula>0.99*(H12+H24+H25+H26-H27)</formula>
    </cfRule>
  </conditionalFormatting>
  <conditionalFormatting sqref="AY30">
    <cfRule type="cellIs" dxfId="143" priority="50" stopIfTrue="1" operator="lessThan">
      <formula>AY28-AY29-(0.01*(AY28-AY29))</formula>
    </cfRule>
  </conditionalFormatting>
  <conditionalFormatting sqref="BC29">
    <cfRule type="cellIs" dxfId="142" priority="7" stopIfTrue="1" operator="lessThan">
      <formula>#REF!+#REF!</formula>
    </cfRule>
    <cfRule type="cellIs" dxfId="141" priority="8" stopIfTrue="1" operator="lessThan">
      <formula>#REF!+BC32+BC33+BC34+BC36+#REF!</formula>
    </cfRule>
  </conditionalFormatting>
  <conditionalFormatting sqref="BC8">
    <cfRule type="cellIs" dxfId="140" priority="9" stopIfTrue="1" operator="lessThan">
      <formula>#REF!+#REF!</formula>
    </cfRule>
    <cfRule type="cellIs" dxfId="139" priority="10" stopIfTrue="1" operator="lessThan">
      <formula>BC10+BC13+BC14+BC15+BC16+BC19</formula>
    </cfRule>
  </conditionalFormatting>
  <conditionalFormatting sqref="BC38:BC39">
    <cfRule type="cellIs" dxfId="138" priority="11" stopIfTrue="1" operator="lessThan">
      <formula>#REF!+BC49</formula>
    </cfRule>
    <cfRule type="cellIs" dxfId="137" priority="12" stopIfTrue="1" operator="lessThan">
      <formula>#REF!+#REF!+#REF!+#REF!+#REF!+#REF!</formula>
    </cfRule>
  </conditionalFormatting>
  <conditionalFormatting sqref="BC40">
    <cfRule type="cellIs" dxfId="136" priority="13" stopIfTrue="1" operator="lessThan">
      <formula>#REF!+BC51</formula>
    </cfRule>
    <cfRule type="cellIs" dxfId="135" priority="14" stopIfTrue="1" operator="lessThan">
      <formula>#REF!+#REF!+#REF!+#REF!+#REF!+#REF!</formula>
    </cfRule>
  </conditionalFormatting>
  <conditionalFormatting sqref="BC57:CL57 BC48:CL48 CN48 CN57 CP57 CP48 CR48 CR57 CT57 CT48 BC54:CT54 BC51:CT51">
    <cfRule type="cellIs" dxfId="134" priority="15" stopIfTrue="1" operator="equal">
      <formula>"&lt;&gt;"</formula>
    </cfRule>
  </conditionalFormatting>
  <conditionalFormatting sqref="BG8:CS40">
    <cfRule type="cellIs" dxfId="133" priority="16" stopIfTrue="1" operator="equal">
      <formula>"&gt; 25%"</formula>
    </cfRule>
  </conditionalFormatting>
  <conditionalFormatting sqref="BE8:BE40">
    <cfRule type="cellIs" dxfId="132" priority="17" stopIfTrue="1" operator="equal">
      <formula>"&gt; 100%"</formula>
    </cfRule>
  </conditionalFormatting>
  <conditionalFormatting sqref="BC33">
    <cfRule type="cellIs" dxfId="131" priority="18" stopIfTrue="1" operator="lessThan">
      <formula>#REF!+#REF!</formula>
    </cfRule>
    <cfRule type="cellIs" dxfId="130" priority="19" stopIfTrue="1" operator="lessThan">
      <formula>BC36+#REF!+#REF!+#REF!+#REF!+#REF!</formula>
    </cfRule>
  </conditionalFormatting>
  <conditionalFormatting sqref="BC32">
    <cfRule type="cellIs" dxfId="129" priority="20" stopIfTrue="1" operator="lessThan">
      <formula>#REF!+#REF!</formula>
    </cfRule>
    <cfRule type="cellIs" dxfId="128" priority="21" stopIfTrue="1" operator="lessThan">
      <formula>BC34+BC36+#REF!+#REF!+#REF!+#REF!</formula>
    </cfRule>
  </conditionalFormatting>
  <conditionalFormatting sqref="BC34:BC35">
    <cfRule type="cellIs" dxfId="127" priority="22" stopIfTrue="1" operator="lessThan">
      <formula>#REF!+#REF!</formula>
    </cfRule>
    <cfRule type="cellIs" dxfId="126" priority="23" stopIfTrue="1" operator="lessThan">
      <formula>#REF!+#REF!+#REF!+#REF!+#REF!+#REF!</formula>
    </cfRule>
  </conditionalFormatting>
  <conditionalFormatting sqref="BC36:BC37">
    <cfRule type="cellIs" dxfId="125" priority="24" stopIfTrue="1" operator="lessThan">
      <formula>#REF!+BC48</formula>
    </cfRule>
    <cfRule type="cellIs" dxfId="124" priority="25" stopIfTrue="1" operator="lessThan">
      <formula>BC40+#REF!+#REF!+#REF!+#REF!+#REF!</formula>
    </cfRule>
  </conditionalFormatting>
  <conditionalFormatting sqref="BC27">
    <cfRule type="cellIs" dxfId="123" priority="26" stopIfTrue="1" operator="lessThan">
      <formula>BC47+#REF!</formula>
    </cfRule>
    <cfRule type="cellIs" dxfId="122" priority="27" stopIfTrue="1" operator="lessThan">
      <formula>#REF!+#REF!+#REF!+#REF!+#REF!+BC42</formula>
    </cfRule>
  </conditionalFormatting>
  <conditionalFormatting sqref="BC28">
    <cfRule type="cellIs" dxfId="121" priority="28" stopIfTrue="1" operator="lessThan">
      <formula>BC48+#REF!</formula>
    </cfRule>
    <cfRule type="cellIs" dxfId="120" priority="29" stopIfTrue="1" operator="lessThan">
      <formula>#REF!+#REF!+#REF!+#REF!+BC42+BC46</formula>
    </cfRule>
  </conditionalFormatting>
  <conditionalFormatting sqref="BC26">
    <cfRule type="cellIs" dxfId="119" priority="30" stopIfTrue="1" operator="lessThan">
      <formula>BC46+#REF!</formula>
    </cfRule>
    <cfRule type="cellIs" dxfId="118" priority="31" stopIfTrue="1" operator="lessThan">
      <formula>BC28+#REF!+#REF!+#REF!+#REF!+#REF!</formula>
    </cfRule>
  </conditionalFormatting>
  <conditionalFormatting sqref="BC9">
    <cfRule type="cellIs" dxfId="117" priority="32" stopIfTrue="1" operator="lessThan">
      <formula>#REF!+#REF!</formula>
    </cfRule>
    <cfRule type="cellIs" dxfId="116" priority="33" stopIfTrue="1" operator="lessThan">
      <formula>#REF!+BC14+BC15+BC16+BC19+#REF!</formula>
    </cfRule>
  </conditionalFormatting>
  <conditionalFormatting sqref="BC13">
    <cfRule type="cellIs" dxfId="115" priority="34" stopIfTrue="1" operator="lessThan">
      <formula>#REF!+#REF!</formula>
    </cfRule>
    <cfRule type="cellIs" dxfId="114" priority="35" stopIfTrue="1" operator="lessThan">
      <formula>BC15+BC16+BC19+#REF!+#REF!+#REF!</formula>
    </cfRule>
  </conditionalFormatting>
  <conditionalFormatting sqref="BC30">
    <cfRule type="cellIs" dxfId="113" priority="36" stopIfTrue="1" operator="lessThan">
      <formula>#REF!+#REF!</formula>
    </cfRule>
    <cfRule type="cellIs" dxfId="112" priority="37" stopIfTrue="1" operator="lessThan">
      <formula>BC32+BC33+BC34+BC36+#REF!+#REF!</formula>
    </cfRule>
  </conditionalFormatting>
  <conditionalFormatting sqref="BC31">
    <cfRule type="cellIs" dxfId="111" priority="38" stopIfTrue="1" operator="lessThan">
      <formula>#REF!+#REF!</formula>
    </cfRule>
    <cfRule type="cellIs" dxfId="110" priority="39" stopIfTrue="1" operator="lessThan">
      <formula>BC33+BC34+BC36+#REF!+#REF!+#REF!</formula>
    </cfRule>
  </conditionalFormatting>
  <conditionalFormatting sqref="BC18">
    <cfRule type="cellIs" dxfId="109" priority="40" stopIfTrue="1" operator="lessThan">
      <formula>BC41+#REF!</formula>
    </cfRule>
    <cfRule type="cellIs" dxfId="108" priority="41" stopIfTrue="1" operator="lessThan">
      <formula>#REF!+#REF!+#REF!+#REF!+#REF!+BC36</formula>
    </cfRule>
  </conditionalFormatting>
  <conditionalFormatting sqref="BC16">
    <cfRule type="cellIs" dxfId="107" priority="42" stopIfTrue="1" operator="lessThan">
      <formula>BC38+#REF!</formula>
    </cfRule>
    <cfRule type="cellIs" dxfId="106" priority="43" stopIfTrue="1" operator="lessThan">
      <formula>#REF!+#REF!+#REF!+#REF!+#REF!+BC33</formula>
    </cfRule>
  </conditionalFormatting>
  <conditionalFormatting sqref="BC19">
    <cfRule type="cellIs" dxfId="105" priority="44" stopIfTrue="1" operator="lessThan">
      <formula>BC40+#REF!</formula>
    </cfRule>
    <cfRule type="cellIs" dxfId="104" priority="45" stopIfTrue="1" operator="lessThan">
      <formula>#REF!+#REF!+#REF!+#REF!+BC33+BC36</formula>
    </cfRule>
  </conditionalFormatting>
  <conditionalFormatting sqref="BC20">
    <cfRule type="cellIs" dxfId="103" priority="46" stopIfTrue="1" operator="lessThan">
      <formula>BC41+#REF!</formula>
    </cfRule>
    <cfRule type="cellIs" dxfId="102" priority="47" stopIfTrue="1" operator="lessThan">
      <formula>#REF!+#REF!+#REF!+#REF!+BC34+BC38</formula>
    </cfRule>
  </conditionalFormatting>
  <conditionalFormatting sqref="BC17">
    <cfRule type="cellIs" dxfId="101" priority="48" stopIfTrue="1" operator="lessThan">
      <formula>BC40+#REF!</formula>
    </cfRule>
    <cfRule type="cellIs" dxfId="100" priority="49" stopIfTrue="1" operator="lessThan">
      <formula>#REF!+#REF!+#REF!+#REF!+#REF!+BC34</formula>
    </cfRule>
  </conditionalFormatting>
  <conditionalFormatting sqref="CM57 CM48">
    <cfRule type="cellIs" dxfId="99" priority="6" stopIfTrue="1" operator="equal">
      <formula>"&lt;&gt;"</formula>
    </cfRule>
  </conditionalFormatting>
  <conditionalFormatting sqref="CO57 CO48">
    <cfRule type="cellIs" dxfId="98" priority="5" stopIfTrue="1" operator="equal">
      <formula>"&lt;&gt;"</formula>
    </cfRule>
  </conditionalFormatting>
  <conditionalFormatting sqref="CQ57 CQ48">
    <cfRule type="cellIs" dxfId="97" priority="4" stopIfTrue="1" operator="equal">
      <formula>"&lt;&gt;"</formula>
    </cfRule>
  </conditionalFormatting>
  <conditionalFormatting sqref="CS57 CS48">
    <cfRule type="cellIs" dxfId="96" priority="3" stopIfTrue="1" operator="equal">
      <formula>"&lt;&gt;"</formula>
    </cfRule>
  </conditionalFormatting>
  <conditionalFormatting sqref="BC10">
    <cfRule type="cellIs" dxfId="95" priority="51" stopIfTrue="1" operator="lessThan">
      <formula>#REF!+#REF!</formula>
    </cfRule>
    <cfRule type="cellIs" dxfId="94" priority="52" stopIfTrue="1" operator="lessThan">
      <formula>BC14+BC15+BC16+BC19+#REF!+#REF!</formula>
    </cfRule>
  </conditionalFormatting>
  <conditionalFormatting sqref="BC23">
    <cfRule type="cellIs" dxfId="93" priority="53" stopIfTrue="1" operator="lessThan">
      <formula>#REF!+#REF!</formula>
    </cfRule>
    <cfRule type="cellIs" dxfId="92" priority="54" stopIfTrue="1" operator="lessThan">
      <formula>BC25+BC26+BC27+BC28+#REF!+#REF!</formula>
    </cfRule>
  </conditionalFormatting>
  <conditionalFormatting sqref="BC24">
    <cfRule type="cellIs" dxfId="91" priority="55" stopIfTrue="1" operator="lessThan">
      <formula>#REF!+#REF!</formula>
    </cfRule>
    <cfRule type="cellIs" dxfId="90" priority="56" stopIfTrue="1" operator="lessThan">
      <formula>BC26+BC27+BC28+#REF!+#REF!+#REF!</formula>
    </cfRule>
  </conditionalFormatting>
  <conditionalFormatting sqref="BC15">
    <cfRule type="cellIs" dxfId="89" priority="57" stopIfTrue="1" operator="lessThan">
      <formula>BC36+#REF!</formula>
    </cfRule>
    <cfRule type="cellIs" dxfId="88" priority="58" stopIfTrue="1" operator="lessThan">
      <formula>BC19+#REF!+#REF!+#REF!+#REF!+#REF!</formula>
    </cfRule>
  </conditionalFormatting>
  <conditionalFormatting sqref="BC14">
    <cfRule type="cellIs" dxfId="87" priority="59" stopIfTrue="1" operator="lessThan">
      <formula>BC33+#REF!</formula>
    </cfRule>
    <cfRule type="cellIs" dxfId="86" priority="60" stopIfTrue="1" operator="lessThan">
      <formula>BC16+BC19+#REF!+#REF!+#REF!+#REF!</formula>
    </cfRule>
  </conditionalFormatting>
  <conditionalFormatting sqref="BC25">
    <cfRule type="cellIs" dxfId="85" priority="61" stopIfTrue="1" operator="lessThan">
      <formula>BC42+#REF!</formula>
    </cfRule>
    <cfRule type="cellIs" dxfId="84" priority="62" stopIfTrue="1" operator="lessThan">
      <formula>BC27+BC28+#REF!+#REF!+#REF!+#REF!</formula>
    </cfRule>
  </conditionalFormatting>
  <conditionalFormatting sqref="BC21:BC22">
    <cfRule type="cellIs" dxfId="83" priority="63" stopIfTrue="1" operator="lessThan">
      <formula>#REF!+#REF!</formula>
    </cfRule>
    <cfRule type="cellIs" dxfId="82" priority="64" stopIfTrue="1" operator="lessThan">
      <formula>#REF!+BC25+BC26+BC27+BC28+#REF!</formula>
    </cfRule>
  </conditionalFormatting>
  <conditionalFormatting sqref="BC11:BC12">
    <cfRule type="cellIs" dxfId="81" priority="1" stopIfTrue="1" operator="lessThan">
      <formula>#REF!+#REF!</formula>
    </cfRule>
    <cfRule type="cellIs" dxfId="80" priority="2" stopIfTrue="1" operator="lessThan">
      <formula>BC15+BC16+BC17+BC20+#REF!+#REF!</formula>
    </cfRule>
  </conditionalFormatting>
  <conditionalFormatting sqref="R30 T30 V30 X30 Z30 AB30 AD30 AF30 AH30 AJ30">
    <cfRule type="cellIs" dxfId="79" priority="245" stopIfTrue="1" operator="lessThan">
      <formula>0.99*(R12+R24+R25+R28-R29)</formula>
    </cfRule>
  </conditionalFormatting>
  <printOptions horizontalCentered="1"/>
  <pageMargins left="0.5" right="0.5" top="0.75" bottom="0.75" header="0.5" footer="0.5"/>
  <pageSetup paperSize="9" scale="53" firstPageNumber="17" fitToHeight="0" orientation="landscape"/>
  <headerFooter alignWithMargins="0">
    <oddFooter>&amp;C&amp;"Arial,Regular"UNSD/Programa de las Naciones Unidas para el Medio Ambiente Cuestionario 2018 Estadisticas Ambientales -  Sección del Agua -  &amp;P</oddFooter>
  </headerFooter>
  <rowBreaks count="1" manualBreakCount="1">
    <brk id="47" min="2" max="53" man="1"/>
  </rowBreaks>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fitToPage="1"/>
  </sheetPr>
  <dimension ref="A1:CT73"/>
  <sheetViews>
    <sheetView showGridLines="0" topLeftCell="C4" zoomScale="85" zoomScaleNormal="85" zoomScaleSheetLayoutView="85" zoomScalePageLayoutView="85" workbookViewId="0">
      <selection activeCell="F8" sqref="F8"/>
    </sheetView>
  </sheetViews>
  <sheetFormatPr defaultColWidth="9.33203125" defaultRowHeight="12.75" x14ac:dyDescent="0.2"/>
  <cols>
    <col min="1" max="1" width="5.6640625" style="191" hidden="1" customWidth="1"/>
    <col min="2" max="2" width="5.1640625" style="192" hidden="1" customWidth="1"/>
    <col min="3" max="3" width="8.33203125" style="204" customWidth="1"/>
    <col min="4" max="4" width="40" style="204" customWidth="1"/>
    <col min="5" max="5" width="10.1640625" style="204" customWidth="1"/>
    <col min="6" max="6" width="8" style="204" customWidth="1"/>
    <col min="7" max="7" width="1.83203125" style="204" customWidth="1"/>
    <col min="8" max="8" width="7" style="232" customWidth="1"/>
    <col min="9" max="9" width="1.83203125" style="233" customWidth="1"/>
    <col min="10" max="10" width="7.1640625" style="233" customWidth="1"/>
    <col min="11" max="11" width="1.83203125" style="233" customWidth="1"/>
    <col min="12" max="12" width="7.1640625" style="233" customWidth="1"/>
    <col min="13" max="13" width="1.83203125" style="233" customWidth="1"/>
    <col min="14" max="14" width="7.1640625" style="233" customWidth="1"/>
    <col min="15" max="15" width="1.83203125" style="233" customWidth="1"/>
    <col min="16" max="16" width="7" style="234" customWidth="1"/>
    <col min="17" max="17" width="1.83203125" style="233" customWidth="1"/>
    <col min="18" max="18" width="7" style="234" customWidth="1"/>
    <col min="19" max="19" width="1.83203125" style="233" customWidth="1"/>
    <col min="20" max="20" width="7" style="234" customWidth="1"/>
    <col min="21" max="21" width="1.83203125" style="233" customWidth="1"/>
    <col min="22" max="22" width="7" style="234" customWidth="1"/>
    <col min="23" max="23" width="1.83203125" style="233" customWidth="1"/>
    <col min="24" max="24" width="7" style="232" customWidth="1"/>
    <col min="25" max="25" width="1.83203125" style="233" customWidth="1"/>
    <col min="26" max="26" width="7" style="232" customWidth="1"/>
    <col min="27" max="27" width="1.83203125" style="233" customWidth="1"/>
    <col min="28" max="28" width="7" style="232" customWidth="1"/>
    <col min="29" max="29" width="1.83203125" style="233" customWidth="1"/>
    <col min="30" max="30" width="7" style="232" customWidth="1"/>
    <col min="31" max="31" width="1.83203125" style="233" customWidth="1"/>
    <col min="32" max="32" width="7" style="232" customWidth="1"/>
    <col min="33" max="33" width="1.83203125" style="233" customWidth="1"/>
    <col min="34" max="34" width="7" style="232" customWidth="1"/>
    <col min="35" max="35" width="1.83203125" style="233" customWidth="1"/>
    <col min="36" max="36" width="7" style="234" customWidth="1"/>
    <col min="37" max="37" width="1.83203125" style="233" customWidth="1"/>
    <col min="38" max="38" width="7" style="232" customWidth="1"/>
    <col min="39" max="39" width="1.83203125" style="233" customWidth="1"/>
    <col min="40" max="40" width="7" style="232" customWidth="1"/>
    <col min="41" max="41" width="1.83203125" style="233" customWidth="1"/>
    <col min="42" max="42" width="7" style="233" customWidth="1"/>
    <col min="43" max="43" width="1.83203125" style="233" customWidth="1"/>
    <col min="44" max="44" width="7" style="233" customWidth="1"/>
    <col min="45" max="45" width="1.83203125" style="233" customWidth="1"/>
    <col min="46" max="46" width="7" style="232" customWidth="1"/>
    <col min="47" max="47" width="1.83203125" style="233" customWidth="1"/>
    <col min="48" max="48" width="7" style="233" customWidth="1"/>
    <col min="49" max="49" width="1.83203125" style="233" customWidth="1"/>
    <col min="50" max="50" width="1.83203125" style="204" customWidth="1"/>
    <col min="51" max="51" width="1.6640625" style="202" customWidth="1"/>
    <col min="52" max="52" width="7.1640625" style="202" customWidth="1"/>
    <col min="53" max="53" width="30.1640625" style="202" customWidth="1"/>
    <col min="54" max="54" width="8.33203125" style="202" customWidth="1"/>
    <col min="55" max="55" width="5.1640625" style="202" customWidth="1"/>
    <col min="56" max="56" width="2.1640625" style="202" customWidth="1"/>
    <col min="57" max="57" width="5.1640625" style="202" customWidth="1"/>
    <col min="58" max="58" width="1.33203125" style="202" customWidth="1"/>
    <col min="59" max="59" width="5.1640625" style="202" customWidth="1"/>
    <col min="60" max="60" width="1.33203125" style="202" customWidth="1"/>
    <col min="61" max="61" width="5.1640625" style="202" customWidth="1"/>
    <col min="62" max="62" width="1.33203125" style="202" customWidth="1"/>
    <col min="63" max="63" width="5.1640625" style="202" customWidth="1"/>
    <col min="64" max="64" width="1.33203125" style="202" customWidth="1"/>
    <col min="65" max="65" width="5.1640625" style="202" customWidth="1"/>
    <col min="66" max="66" width="1.33203125" style="202" customWidth="1"/>
    <col min="67" max="67" width="5.1640625" style="202" customWidth="1"/>
    <col min="68" max="68" width="1.33203125" style="202" customWidth="1"/>
    <col min="69" max="69" width="5.1640625" style="202" customWidth="1"/>
    <col min="70" max="70" width="1.33203125" style="202" customWidth="1"/>
    <col min="71" max="71" width="5.1640625" style="202" customWidth="1"/>
    <col min="72" max="72" width="1.33203125" style="202" customWidth="1"/>
    <col min="73" max="73" width="5.1640625" style="202" customWidth="1"/>
    <col min="74" max="74" width="1.33203125" style="202" customWidth="1"/>
    <col min="75" max="75" width="5.1640625" style="202" customWidth="1"/>
    <col min="76" max="76" width="1.33203125" style="202" customWidth="1"/>
    <col min="77" max="77" width="5.1640625" style="202" customWidth="1"/>
    <col min="78" max="78" width="1.33203125" style="202" customWidth="1"/>
    <col min="79" max="79" width="5.1640625" style="202" customWidth="1"/>
    <col min="80" max="80" width="1.33203125" style="202" customWidth="1"/>
    <col min="81" max="81" width="5.1640625" style="202" customWidth="1"/>
    <col min="82" max="82" width="1.33203125" style="202" customWidth="1"/>
    <col min="83" max="83" width="5.1640625" style="202" customWidth="1"/>
    <col min="84" max="84" width="1.33203125" style="202" customWidth="1"/>
    <col min="85" max="85" width="5.1640625" style="202" customWidth="1"/>
    <col min="86" max="86" width="1.33203125" style="202" customWidth="1"/>
    <col min="87" max="87" width="5.1640625" style="202" customWidth="1"/>
    <col min="88" max="88" width="1.33203125" style="202" customWidth="1"/>
    <col min="89" max="89" width="5.1640625" style="202" customWidth="1"/>
    <col min="90" max="90" width="1.33203125" style="202" customWidth="1"/>
    <col min="91" max="91" width="5.1640625" style="202" customWidth="1"/>
    <col min="92" max="92" width="1.33203125" style="202" customWidth="1"/>
    <col min="93" max="93" width="5.1640625" style="202" customWidth="1"/>
    <col min="94" max="94" width="1.33203125" style="202" customWidth="1"/>
    <col min="95" max="95" width="5.1640625" style="202" customWidth="1"/>
    <col min="96" max="96" width="1.33203125" style="202" customWidth="1"/>
    <col min="97" max="97" width="5.1640625" style="202" customWidth="1"/>
    <col min="98" max="98" width="1.33203125" style="202" customWidth="1"/>
    <col min="99" max="16384" width="9.33203125" style="204"/>
  </cols>
  <sheetData>
    <row r="1" spans="1:98" s="438" customFormat="1" ht="16.5" customHeight="1" x14ac:dyDescent="0.25">
      <c r="A1" s="437"/>
      <c r="B1" s="192">
        <v>0</v>
      </c>
      <c r="C1" s="193" t="s">
        <v>388</v>
      </c>
      <c r="D1" s="193"/>
      <c r="E1" s="344"/>
      <c r="F1" s="344"/>
      <c r="G1" s="344"/>
      <c r="H1" s="345"/>
      <c r="I1" s="346"/>
      <c r="J1" s="346"/>
      <c r="K1" s="346"/>
      <c r="L1" s="346"/>
      <c r="M1" s="346"/>
      <c r="N1" s="346"/>
      <c r="O1" s="346"/>
      <c r="P1" s="347"/>
      <c r="Q1" s="346"/>
      <c r="R1" s="347"/>
      <c r="S1" s="346"/>
      <c r="T1" s="347"/>
      <c r="U1" s="346"/>
      <c r="V1" s="347"/>
      <c r="W1" s="346"/>
      <c r="X1" s="345"/>
      <c r="Y1" s="346"/>
      <c r="Z1" s="345"/>
      <c r="AA1" s="346"/>
      <c r="AB1" s="345"/>
      <c r="AC1" s="346"/>
      <c r="AD1" s="345"/>
      <c r="AE1" s="346"/>
      <c r="AF1" s="345"/>
      <c r="AG1" s="346"/>
      <c r="AH1" s="345"/>
      <c r="AI1" s="346"/>
      <c r="AJ1" s="347"/>
      <c r="AK1" s="346"/>
      <c r="AL1" s="345"/>
      <c r="AM1" s="346"/>
      <c r="AN1" s="345"/>
      <c r="AO1" s="346"/>
      <c r="AP1" s="346"/>
      <c r="AQ1" s="346"/>
      <c r="AR1" s="346"/>
      <c r="AS1" s="346"/>
      <c r="AT1" s="345"/>
      <c r="AU1" s="346"/>
      <c r="AV1" s="346"/>
      <c r="AW1" s="346"/>
      <c r="AX1" s="346"/>
      <c r="AY1" s="700"/>
      <c r="AZ1" s="203" t="s">
        <v>456</v>
      </c>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c r="CE1" s="474"/>
      <c r="CF1" s="474"/>
      <c r="CG1" s="474"/>
      <c r="CH1" s="474"/>
      <c r="CI1" s="474"/>
      <c r="CJ1" s="474"/>
      <c r="CK1" s="474"/>
      <c r="CL1" s="474"/>
      <c r="CM1" s="474"/>
      <c r="CN1" s="474"/>
      <c r="CO1" s="474"/>
      <c r="CP1" s="474"/>
      <c r="CQ1" s="474"/>
      <c r="CR1" s="474"/>
      <c r="CS1" s="474"/>
      <c r="CT1" s="474"/>
    </row>
    <row r="2" spans="1:98" ht="6" customHeight="1" x14ac:dyDescent="0.2">
      <c r="E2" s="350"/>
      <c r="F2" s="350"/>
      <c r="G2" s="350"/>
      <c r="H2" s="351"/>
      <c r="I2" s="352"/>
      <c r="J2" s="352"/>
      <c r="K2" s="352"/>
      <c r="L2" s="352"/>
      <c r="M2" s="352"/>
      <c r="N2" s="352"/>
      <c r="O2" s="352"/>
      <c r="P2" s="353"/>
      <c r="Q2" s="352"/>
      <c r="R2" s="353"/>
      <c r="S2" s="352"/>
      <c r="T2" s="353"/>
      <c r="U2" s="352"/>
      <c r="V2" s="353"/>
      <c r="W2" s="352"/>
      <c r="X2" s="354"/>
    </row>
    <row r="3" spans="1:98" s="371" customFormat="1" ht="17.25" customHeight="1" x14ac:dyDescent="0.25">
      <c r="A3" s="294"/>
      <c r="B3" s="294">
        <v>222</v>
      </c>
      <c r="C3" s="355" t="s">
        <v>508</v>
      </c>
      <c r="D3" s="28" t="s">
        <v>254</v>
      </c>
      <c r="E3" s="429"/>
      <c r="F3" s="430"/>
      <c r="G3" s="431"/>
      <c r="H3" s="432"/>
      <c r="I3" s="433"/>
      <c r="J3" s="433"/>
      <c r="K3" s="433"/>
      <c r="L3" s="433"/>
      <c r="M3" s="433"/>
      <c r="N3" s="433"/>
      <c r="O3" s="433"/>
      <c r="P3" s="432"/>
      <c r="Q3" s="433"/>
      <c r="R3" s="432"/>
      <c r="S3" s="433"/>
      <c r="T3" s="432"/>
      <c r="U3" s="433"/>
      <c r="V3" s="432"/>
      <c r="W3" s="431"/>
      <c r="X3" s="432"/>
      <c r="Y3" s="434"/>
      <c r="Z3" s="107"/>
      <c r="AA3" s="434"/>
      <c r="AB3" s="54"/>
      <c r="AC3" s="355" t="s">
        <v>509</v>
      </c>
      <c r="AD3" s="357"/>
      <c r="AE3" s="356"/>
      <c r="AF3" s="357"/>
      <c r="AG3" s="358"/>
      <c r="AH3" s="357"/>
      <c r="AI3" s="431"/>
      <c r="AJ3" s="432"/>
      <c r="AK3" s="431"/>
      <c r="AL3" s="432"/>
      <c r="AM3" s="431"/>
      <c r="AN3" s="432"/>
      <c r="AO3" s="435"/>
      <c r="AP3" s="435"/>
      <c r="AQ3" s="435"/>
      <c r="AR3" s="435"/>
      <c r="AS3" s="435"/>
      <c r="AT3" s="436"/>
      <c r="AU3" s="436"/>
      <c r="AV3" s="435"/>
      <c r="AW3" s="435"/>
      <c r="AX3" s="436"/>
      <c r="AY3" s="439"/>
      <c r="AZ3" s="362" t="s">
        <v>432</v>
      </c>
      <c r="BA3" s="440"/>
      <c r="BB3" s="440"/>
      <c r="BC3" s="369"/>
      <c r="BD3" s="369"/>
      <c r="BE3" s="369"/>
      <c r="BF3" s="369"/>
      <c r="BG3" s="846"/>
      <c r="BH3" s="846"/>
      <c r="BI3" s="846"/>
      <c r="BJ3" s="442"/>
      <c r="BK3" s="442"/>
      <c r="BL3" s="442"/>
      <c r="BM3" s="846"/>
      <c r="BN3" s="846"/>
      <c r="BO3" s="846"/>
      <c r="BP3" s="442"/>
      <c r="BQ3" s="442"/>
      <c r="BR3" s="442"/>
      <c r="BS3" s="442"/>
      <c r="BT3" s="442"/>
      <c r="BU3" s="442"/>
      <c r="BV3" s="442"/>
      <c r="BW3" s="369"/>
      <c r="BX3" s="369"/>
      <c r="BY3" s="369"/>
      <c r="BZ3" s="369"/>
      <c r="CA3" s="369"/>
      <c r="CB3" s="369"/>
      <c r="CC3" s="443"/>
      <c r="CD3" s="443"/>
      <c r="CE3" s="443"/>
      <c r="CF3" s="443"/>
      <c r="CG3" s="369"/>
      <c r="CH3" s="369"/>
      <c r="CI3" s="369"/>
      <c r="CJ3" s="369"/>
      <c r="CK3" s="369"/>
      <c r="CL3" s="369"/>
      <c r="CM3" s="369"/>
      <c r="CN3" s="369"/>
      <c r="CO3" s="369"/>
      <c r="CP3" s="369"/>
      <c r="CQ3" s="369"/>
      <c r="CR3" s="369"/>
      <c r="CS3" s="369"/>
      <c r="CT3" s="369"/>
    </row>
    <row r="4" spans="1:98" ht="5.25" customHeight="1" x14ac:dyDescent="0.2">
      <c r="E4" s="372"/>
      <c r="F4" s="372"/>
      <c r="G4" s="372"/>
      <c r="Y4" s="359"/>
      <c r="Z4" s="354"/>
      <c r="AL4" s="351"/>
      <c r="AM4" s="352"/>
      <c r="AZ4" s="334"/>
    </row>
    <row r="5" spans="1:98" s="438" customFormat="1" ht="17.25" customHeight="1" x14ac:dyDescent="0.25">
      <c r="A5" s="437"/>
      <c r="B5" s="192">
        <v>17</v>
      </c>
      <c r="C5" s="822" t="s">
        <v>59</v>
      </c>
      <c r="D5" s="822"/>
      <c r="E5" s="868"/>
      <c r="F5" s="868"/>
      <c r="G5" s="868"/>
      <c r="H5" s="868"/>
      <c r="I5" s="824"/>
      <c r="J5" s="824"/>
      <c r="K5" s="824"/>
      <c r="L5" s="824"/>
      <c r="M5" s="824"/>
      <c r="N5" s="824"/>
      <c r="O5" s="824"/>
      <c r="P5" s="824"/>
      <c r="Q5" s="824"/>
      <c r="R5" s="824"/>
      <c r="S5" s="824"/>
      <c r="T5" s="824"/>
      <c r="U5" s="824"/>
      <c r="V5" s="824"/>
      <c r="W5" s="824"/>
      <c r="X5" s="868"/>
      <c r="Y5" s="824"/>
      <c r="Z5" s="868"/>
      <c r="AA5" s="824"/>
      <c r="AB5" s="868"/>
      <c r="AC5" s="824"/>
      <c r="AD5" s="868"/>
      <c r="AE5" s="824"/>
      <c r="AF5" s="868"/>
      <c r="AG5" s="824"/>
      <c r="AH5" s="868"/>
      <c r="AI5" s="824"/>
      <c r="AJ5" s="824"/>
      <c r="AK5" s="824"/>
      <c r="AL5" s="868"/>
      <c r="AM5" s="824"/>
      <c r="AN5" s="868"/>
      <c r="AO5" s="373"/>
      <c r="AP5" s="373"/>
      <c r="AQ5" s="373"/>
      <c r="AR5" s="373"/>
      <c r="AS5" s="373"/>
      <c r="AT5" s="374"/>
      <c r="AU5" s="373"/>
      <c r="AV5" s="373"/>
      <c r="AW5" s="373"/>
      <c r="AX5" s="444"/>
      <c r="AY5" s="700"/>
      <c r="AZ5" s="375" t="s">
        <v>433</v>
      </c>
      <c r="BA5" s="474"/>
      <c r="BB5" s="474"/>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4"/>
      <c r="CL5" s="474"/>
      <c r="CM5" s="474"/>
      <c r="CN5" s="474"/>
      <c r="CO5" s="474"/>
      <c r="CP5" s="474"/>
      <c r="CQ5" s="474"/>
      <c r="CR5" s="474"/>
      <c r="CS5" s="474"/>
      <c r="CT5" s="474"/>
    </row>
    <row r="6" spans="1:98" s="446" customFormat="1" ht="25.5" customHeight="1" x14ac:dyDescent="0.25">
      <c r="A6" s="445"/>
      <c r="B6" s="192"/>
      <c r="C6" s="438"/>
      <c r="D6" s="438"/>
      <c r="E6" s="856" t="s">
        <v>401</v>
      </c>
      <c r="F6" s="788"/>
      <c r="G6" s="788"/>
      <c r="H6" s="788"/>
      <c r="I6" s="788"/>
      <c r="J6" s="788"/>
      <c r="K6" s="788"/>
      <c r="L6" s="788"/>
      <c r="M6" s="788"/>
      <c r="N6" s="788"/>
      <c r="O6" s="788"/>
      <c r="P6" s="788"/>
      <c r="Q6" s="788"/>
      <c r="R6" s="788"/>
      <c r="S6" s="788"/>
      <c r="T6" s="788"/>
      <c r="U6" s="788"/>
      <c r="V6" s="788"/>
      <c r="W6" s="788"/>
      <c r="X6" s="788"/>
      <c r="Y6" s="788"/>
      <c r="Z6" s="788"/>
      <c r="AA6" s="788"/>
      <c r="AB6" s="788"/>
      <c r="AC6" s="788"/>
      <c r="AD6" s="788"/>
      <c r="AE6" s="788"/>
      <c r="AF6" s="788"/>
      <c r="AG6" s="788"/>
      <c r="AH6" s="788"/>
      <c r="AI6" s="788"/>
      <c r="AJ6" s="869"/>
      <c r="AK6" s="870"/>
      <c r="AL6" s="870"/>
      <c r="AM6" s="870"/>
      <c r="AN6" s="870"/>
      <c r="AO6" s="870"/>
      <c r="AP6" s="870"/>
      <c r="AQ6" s="870"/>
      <c r="AR6" s="870"/>
      <c r="AS6" s="870"/>
      <c r="AT6" s="870"/>
      <c r="AU6" s="870"/>
      <c r="AV6" s="870"/>
      <c r="AW6" s="870"/>
      <c r="AX6" s="335"/>
      <c r="AY6" s="447"/>
      <c r="AZ6" s="379" t="s">
        <v>428</v>
      </c>
      <c r="BA6" s="47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O6" s="474"/>
      <c r="CP6" s="474"/>
      <c r="CQ6" s="474"/>
      <c r="CR6" s="474"/>
      <c r="CS6" s="474"/>
      <c r="CT6" s="474"/>
    </row>
    <row r="7" spans="1:98" s="246" customFormat="1" ht="21.75" customHeight="1" x14ac:dyDescent="0.2">
      <c r="A7" s="241"/>
      <c r="B7" s="242">
        <v>2</v>
      </c>
      <c r="C7" s="244" t="s">
        <v>510</v>
      </c>
      <c r="D7" s="244" t="s">
        <v>511</v>
      </c>
      <c r="E7" s="244" t="s">
        <v>512</v>
      </c>
      <c r="F7" s="571">
        <v>1990</v>
      </c>
      <c r="G7" s="572"/>
      <c r="H7" s="571">
        <v>1995</v>
      </c>
      <c r="I7" s="572"/>
      <c r="J7" s="571">
        <v>2000</v>
      </c>
      <c r="K7" s="572"/>
      <c r="L7" s="571">
        <v>2001</v>
      </c>
      <c r="M7" s="573"/>
      <c r="N7" s="571">
        <v>2002</v>
      </c>
      <c r="O7" s="573"/>
      <c r="P7" s="571">
        <v>2003</v>
      </c>
      <c r="Q7" s="573"/>
      <c r="R7" s="571">
        <v>2004</v>
      </c>
      <c r="S7" s="573"/>
      <c r="T7" s="571">
        <v>2005</v>
      </c>
      <c r="U7" s="573"/>
      <c r="V7" s="571">
        <v>2006</v>
      </c>
      <c r="W7" s="573"/>
      <c r="X7" s="571">
        <v>2007</v>
      </c>
      <c r="Y7" s="573"/>
      <c r="Z7" s="571">
        <v>2008</v>
      </c>
      <c r="AA7" s="574"/>
      <c r="AB7" s="571">
        <v>2009</v>
      </c>
      <c r="AC7" s="574"/>
      <c r="AD7" s="571">
        <v>2010</v>
      </c>
      <c r="AE7" s="573"/>
      <c r="AF7" s="571">
        <v>2011</v>
      </c>
      <c r="AG7" s="573"/>
      <c r="AH7" s="571">
        <v>2012</v>
      </c>
      <c r="AI7" s="573"/>
      <c r="AJ7" s="571">
        <v>2013</v>
      </c>
      <c r="AK7" s="573"/>
      <c r="AL7" s="571">
        <v>2014</v>
      </c>
      <c r="AM7" s="573"/>
      <c r="AN7" s="571">
        <v>2015</v>
      </c>
      <c r="AO7" s="573"/>
      <c r="AP7" s="571">
        <v>2016</v>
      </c>
      <c r="AQ7" s="573"/>
      <c r="AR7" s="571">
        <v>2017</v>
      </c>
      <c r="AS7" s="573"/>
      <c r="AT7" s="571">
        <v>2018</v>
      </c>
      <c r="AU7" s="573"/>
      <c r="AV7" s="571">
        <v>2019</v>
      </c>
      <c r="AW7" s="573"/>
      <c r="AY7" s="241"/>
      <c r="AZ7" s="244" t="s">
        <v>195</v>
      </c>
      <c r="BA7" s="244" t="s">
        <v>196</v>
      </c>
      <c r="BB7" s="244" t="s">
        <v>197</v>
      </c>
      <c r="BC7" s="243">
        <v>1990</v>
      </c>
      <c r="BD7" s="243"/>
      <c r="BE7" s="244">
        <v>1995</v>
      </c>
      <c r="BF7" s="244"/>
      <c r="BG7" s="244">
        <v>2000</v>
      </c>
      <c r="BH7" s="244"/>
      <c r="BI7" s="244">
        <v>2001</v>
      </c>
      <c r="BJ7" s="244"/>
      <c r="BK7" s="244">
        <v>2002</v>
      </c>
      <c r="BL7" s="244"/>
      <c r="BM7" s="244">
        <v>2003</v>
      </c>
      <c r="BN7" s="244"/>
      <c r="BO7" s="244">
        <v>2004</v>
      </c>
      <c r="BP7" s="244"/>
      <c r="BQ7" s="244">
        <v>2005</v>
      </c>
      <c r="BR7" s="244"/>
      <c r="BS7" s="244">
        <v>2006</v>
      </c>
      <c r="BT7" s="244"/>
      <c r="BU7" s="244">
        <v>2007</v>
      </c>
      <c r="BV7" s="244"/>
      <c r="BW7" s="244">
        <v>2008</v>
      </c>
      <c r="BX7" s="244"/>
      <c r="BY7" s="244">
        <v>2009</v>
      </c>
      <c r="BZ7" s="244"/>
      <c r="CA7" s="244">
        <v>2010</v>
      </c>
      <c r="CB7" s="244"/>
      <c r="CC7" s="244">
        <v>2011</v>
      </c>
      <c r="CD7" s="244"/>
      <c r="CE7" s="244">
        <v>2012</v>
      </c>
      <c r="CF7" s="244"/>
      <c r="CG7" s="244">
        <v>2013</v>
      </c>
      <c r="CH7" s="244"/>
      <c r="CI7" s="244">
        <v>2014</v>
      </c>
      <c r="CJ7" s="244"/>
      <c r="CK7" s="244">
        <v>2015</v>
      </c>
      <c r="CL7" s="244"/>
      <c r="CM7" s="244">
        <v>2016</v>
      </c>
      <c r="CN7" s="244"/>
      <c r="CO7" s="244">
        <v>2017</v>
      </c>
      <c r="CP7" s="244"/>
      <c r="CQ7" s="244">
        <v>2018</v>
      </c>
      <c r="CR7" s="244"/>
      <c r="CS7" s="244">
        <v>2019</v>
      </c>
      <c r="CT7" s="244"/>
    </row>
    <row r="8" spans="1:98" s="213" customFormat="1" ht="36" customHeight="1" x14ac:dyDescent="0.2">
      <c r="A8" s="191"/>
      <c r="B8" s="249">
        <v>275</v>
      </c>
      <c r="C8" s="389">
        <v>1</v>
      </c>
      <c r="D8" s="268" t="s">
        <v>47</v>
      </c>
      <c r="E8" s="385" t="s">
        <v>548</v>
      </c>
      <c r="F8" s="544"/>
      <c r="G8" s="565"/>
      <c r="H8" s="544"/>
      <c r="I8" s="565"/>
      <c r="J8" s="544"/>
      <c r="K8" s="565"/>
      <c r="L8" s="544"/>
      <c r="M8" s="565"/>
      <c r="N8" s="544"/>
      <c r="O8" s="565"/>
      <c r="P8" s="544"/>
      <c r="Q8" s="565"/>
      <c r="R8" s="544"/>
      <c r="S8" s="565"/>
      <c r="T8" s="544"/>
      <c r="U8" s="565"/>
      <c r="V8" s="544"/>
      <c r="W8" s="565"/>
      <c r="X8" s="544"/>
      <c r="Y8" s="565"/>
      <c r="Z8" s="544"/>
      <c r="AA8" s="565"/>
      <c r="AB8" s="544"/>
      <c r="AC8" s="565"/>
      <c r="AD8" s="544"/>
      <c r="AE8" s="565"/>
      <c r="AF8" s="544"/>
      <c r="AG8" s="565"/>
      <c r="AH8" s="544"/>
      <c r="AI8" s="565"/>
      <c r="AJ8" s="544"/>
      <c r="AK8" s="565"/>
      <c r="AL8" s="544"/>
      <c r="AM8" s="565"/>
      <c r="AN8" s="544"/>
      <c r="AO8" s="565"/>
      <c r="AP8" s="544"/>
      <c r="AQ8" s="565"/>
      <c r="AR8" s="544"/>
      <c r="AS8" s="565"/>
      <c r="AT8" s="544"/>
      <c r="AU8" s="565"/>
      <c r="AV8" s="544"/>
      <c r="AW8" s="565"/>
      <c r="AY8" s="202"/>
      <c r="AZ8" s="612">
        <v>1</v>
      </c>
      <c r="BA8" s="622" t="s">
        <v>381</v>
      </c>
      <c r="BB8" s="583" t="s">
        <v>199</v>
      </c>
      <c r="BC8" s="257" t="s">
        <v>457</v>
      </c>
      <c r="BD8" s="262"/>
      <c r="BE8" s="79" t="str">
        <f>IF(OR(ISBLANK(F8),ISBLANK(H8)),"N/A",IF(ABS((H8-F8)/F8)&gt;1,"&gt; 100%","ok"))</f>
        <v>N/A</v>
      </c>
      <c r="BF8" s="262"/>
      <c r="BG8" s="82" t="str">
        <f>IF(OR(ISBLANK(H8),ISBLANK(J8)),"N/A",IF(ABS((J8-H8)/H8)&gt;1,"&gt; 100%","ok"))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213" customFormat="1" ht="18.95" customHeight="1" x14ac:dyDescent="0.2">
      <c r="A9" s="191"/>
      <c r="B9" s="249">
        <v>2416</v>
      </c>
      <c r="C9" s="385">
        <v>2</v>
      </c>
      <c r="D9" s="266" t="s">
        <v>60</v>
      </c>
      <c r="E9" s="385" t="s">
        <v>548</v>
      </c>
      <c r="F9" s="544"/>
      <c r="G9" s="565"/>
      <c r="H9" s="544"/>
      <c r="I9" s="565"/>
      <c r="J9" s="544"/>
      <c r="K9" s="565"/>
      <c r="L9" s="544"/>
      <c r="M9" s="565"/>
      <c r="N9" s="544"/>
      <c r="O9" s="565"/>
      <c r="P9" s="544"/>
      <c r="Q9" s="565"/>
      <c r="R9" s="544"/>
      <c r="S9" s="565"/>
      <c r="T9" s="544"/>
      <c r="U9" s="565"/>
      <c r="V9" s="544"/>
      <c r="W9" s="565"/>
      <c r="X9" s="544"/>
      <c r="Y9" s="565"/>
      <c r="Z9" s="544"/>
      <c r="AA9" s="565"/>
      <c r="AB9" s="544"/>
      <c r="AC9" s="565"/>
      <c r="AD9" s="544"/>
      <c r="AE9" s="565"/>
      <c r="AF9" s="544"/>
      <c r="AG9" s="565"/>
      <c r="AH9" s="544"/>
      <c r="AI9" s="565"/>
      <c r="AJ9" s="544"/>
      <c r="AK9" s="565"/>
      <c r="AL9" s="544"/>
      <c r="AM9" s="565"/>
      <c r="AN9" s="544"/>
      <c r="AO9" s="565"/>
      <c r="AP9" s="544"/>
      <c r="AQ9" s="565"/>
      <c r="AR9" s="544"/>
      <c r="AS9" s="565"/>
      <c r="AT9" s="544"/>
      <c r="AU9" s="565"/>
      <c r="AV9" s="544"/>
      <c r="AW9" s="565"/>
      <c r="AY9" s="202"/>
      <c r="AZ9" s="583">
        <v>2</v>
      </c>
      <c r="BA9" s="623" t="s">
        <v>382</v>
      </c>
      <c r="BB9" s="583" t="s">
        <v>199</v>
      </c>
      <c r="BC9" s="81" t="s">
        <v>457</v>
      </c>
      <c r="BD9" s="262"/>
      <c r="BE9" s="79" t="str">
        <f>IF(OR(ISBLANK(F9),ISBLANK(H9)),"N/A",IF(ABS((H9-F9)/F9)&gt;1,"&gt; 100%","ok"))</f>
        <v>N/A</v>
      </c>
      <c r="BF9" s="262"/>
      <c r="BG9" s="82" t="str">
        <f t="shared" ref="BG9:BG19" si="0">IF(OR(ISBLANK(H9),ISBLANK(J9)),"N/A",IF(ABS((J9-H9)/H9)&gt;1,"&gt; 100%","ok"))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t="shared" ref="CM9:CM23" si="1">IF(OR(ISBLANK(AN9),ISBLANK(AP9)),"N/A",IF(ABS((AP9-AN9)/AN9)&gt;0.25,"&gt; 25%","ok"))</f>
        <v>N/A</v>
      </c>
      <c r="CN9" s="82"/>
      <c r="CO9" s="82" t="str">
        <f t="shared" ref="CO9:CO23" si="2">IF(OR(ISBLANK(AP9),ISBLANK(AR9)),"N/A",IF(ABS((AR9-AP9)/AP9)&gt;0.25,"&gt; 25%","ok"))</f>
        <v>N/A</v>
      </c>
      <c r="CP9" s="82"/>
      <c r="CQ9" s="82" t="str">
        <f t="shared" ref="CQ9:CQ23" si="3">IF(OR(ISBLANK(AR9),ISBLANK(AT9)),"N/A",IF(ABS((AT9-AR9)/AR9)&gt;0.25,"&gt; 25%","ok"))</f>
        <v>N/A</v>
      </c>
      <c r="CR9" s="82"/>
      <c r="CS9" s="82" t="str">
        <f t="shared" ref="CS9:CS23" si="4">IF(OR(ISBLANK(AT9),ISBLANK(AV9)),"N/A",IF(ABS((AV9-AT9)/AT9)&gt;0.25,"&gt; 25%","ok"))</f>
        <v>N/A</v>
      </c>
      <c r="CT9" s="82"/>
    </row>
    <row r="10" spans="1:98" s="449" customFormat="1" ht="36" customHeight="1" x14ac:dyDescent="0.2">
      <c r="A10" s="448" t="s">
        <v>449</v>
      </c>
      <c r="B10" s="249">
        <v>29</v>
      </c>
      <c r="C10" s="389">
        <v>3</v>
      </c>
      <c r="D10" s="268" t="s">
        <v>567</v>
      </c>
      <c r="E10" s="385" t="s">
        <v>548</v>
      </c>
      <c r="F10" s="544"/>
      <c r="G10" s="565"/>
      <c r="H10" s="544"/>
      <c r="I10" s="565"/>
      <c r="J10" s="544"/>
      <c r="K10" s="565"/>
      <c r="L10" s="544"/>
      <c r="M10" s="565"/>
      <c r="N10" s="544"/>
      <c r="O10" s="565"/>
      <c r="P10" s="544"/>
      <c r="Q10" s="565"/>
      <c r="R10" s="544"/>
      <c r="S10" s="565"/>
      <c r="T10" s="544"/>
      <c r="U10" s="565"/>
      <c r="V10" s="544"/>
      <c r="W10" s="565"/>
      <c r="X10" s="544"/>
      <c r="Y10" s="565"/>
      <c r="Z10" s="544"/>
      <c r="AA10" s="565"/>
      <c r="AB10" s="544"/>
      <c r="AC10" s="565"/>
      <c r="AD10" s="544"/>
      <c r="AE10" s="565"/>
      <c r="AF10" s="544"/>
      <c r="AG10" s="565"/>
      <c r="AH10" s="544"/>
      <c r="AI10" s="565"/>
      <c r="AJ10" s="544"/>
      <c r="AK10" s="565"/>
      <c r="AL10" s="544"/>
      <c r="AM10" s="565"/>
      <c r="AN10" s="544"/>
      <c r="AO10" s="565"/>
      <c r="AP10" s="544"/>
      <c r="AQ10" s="565"/>
      <c r="AR10" s="544"/>
      <c r="AS10" s="565"/>
      <c r="AT10" s="544"/>
      <c r="AU10" s="565"/>
      <c r="AV10" s="544"/>
      <c r="AW10" s="565"/>
      <c r="AY10" s="450"/>
      <c r="AZ10" s="612">
        <v>3</v>
      </c>
      <c r="BA10" s="622" t="s">
        <v>579</v>
      </c>
      <c r="BB10" s="583" t="s">
        <v>199</v>
      </c>
      <c r="BC10" s="81" t="s">
        <v>457</v>
      </c>
      <c r="BD10" s="262"/>
      <c r="BE10" s="82" t="str">
        <f>IF(OR(ISBLANK(F10),ISBLANK(H10)),"N/A",IF(ABS((H10-F10)/F10)&gt;1,"&gt; 100%","ok"))</f>
        <v>N/A</v>
      </c>
      <c r="BF10" s="262"/>
      <c r="BG10" s="82" t="str">
        <f t="shared" si="0"/>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N/A</v>
      </c>
      <c r="BT10" s="82"/>
      <c r="BU10" s="82" t="str">
        <f>IF(OR(ISBLANK(V10),ISBLANK(X10)),"N/A",IF(ABS((X10-V10)/V10)&gt;0.25,"&gt; 25%","ok"))</f>
        <v>N/A</v>
      </c>
      <c r="BV10" s="82"/>
      <c r="BW10" s="82" t="str">
        <f>IF(OR(ISBLANK(X10),ISBLANK(Z10)),"N/A",IF(ABS((Z10-X10)/X10)&gt;0.25,"&gt; 25%","ok"))</f>
        <v>N/A</v>
      </c>
      <c r="BX10" s="82"/>
      <c r="BY10" s="82" t="str">
        <f>IF(OR(ISBLANK(Z10),ISBLANK(AB10)),"N/A",IF(ABS((AB10-Z10)/Z10)&gt;0.25,"&gt; 25%","ok"))</f>
        <v>N/A</v>
      </c>
      <c r="BZ10" s="82"/>
      <c r="CA10" s="82" t="str">
        <f>IF(OR(ISBLANK(AB10),ISBLANK(AD10)),"N/A",IF(ABS((AD10-AB10)/AB10)&gt;0.25,"&gt; 25%","ok"))</f>
        <v>N/A</v>
      </c>
      <c r="CB10" s="82"/>
      <c r="CC10" s="82" t="str">
        <f>IF(OR(ISBLANK(AD10),ISBLANK(AF10)),"N/A",IF(ABS((AF10-AD10)/AD10)&gt;0.25,"&gt; 25%","ok"))</f>
        <v>N/A</v>
      </c>
      <c r="CD10" s="82"/>
      <c r="CE10" s="82" t="str">
        <f>IF(OR(ISBLANK(AF10),ISBLANK(AH10)),"N/A",IF(ABS((AH10-AF10)/AF10)&gt;0.25,"&gt; 25%","ok"))</f>
        <v>N/A</v>
      </c>
      <c r="CF10" s="82"/>
      <c r="CG10" s="82" t="str">
        <f>IF(OR(ISBLANK(AH10),ISBLANK(AJ10)),"N/A",IF(ABS((AJ10-AH10)/AH10)&gt;0.25,"&gt; 25%","ok"))</f>
        <v>N/A</v>
      </c>
      <c r="CH10" s="82"/>
      <c r="CI10" s="82" t="str">
        <f>IF(OR(ISBLANK(AJ10),ISBLANK(AL10)),"N/A",IF(ABS((AL10-AJ10)/AJ10)&gt;0.25,"&gt; 25%","ok"))</f>
        <v>N/A</v>
      </c>
      <c r="CJ10" s="82"/>
      <c r="CK10" s="82" t="str">
        <f>IF(OR(ISBLANK(AL10),ISBLANK(AN10)),"N/A",IF(ABS((AN10-AL10)/AL10)&gt;0.25,"&gt; 25%","ok"))</f>
        <v>N/A</v>
      </c>
      <c r="CL10" s="82"/>
      <c r="CM10" s="82" t="str">
        <f t="shared" si="1"/>
        <v>N/A</v>
      </c>
      <c r="CN10" s="82"/>
      <c r="CO10" s="82" t="str">
        <f t="shared" si="2"/>
        <v>N/A</v>
      </c>
      <c r="CP10" s="82"/>
      <c r="CQ10" s="82" t="str">
        <f t="shared" si="3"/>
        <v>N/A</v>
      </c>
      <c r="CR10" s="82"/>
      <c r="CS10" s="82" t="str">
        <f t="shared" si="4"/>
        <v>N/A</v>
      </c>
      <c r="CT10" s="82"/>
    </row>
    <row r="11" spans="1:98" s="449" customFormat="1" ht="18.95" customHeight="1" x14ac:dyDescent="0.2">
      <c r="A11" s="451"/>
      <c r="B11" s="249">
        <v>5008</v>
      </c>
      <c r="C11" s="610"/>
      <c r="D11" s="611" t="s">
        <v>125</v>
      </c>
      <c r="E11" s="612"/>
      <c r="F11" s="578"/>
      <c r="G11" s="579"/>
      <c r="H11" s="578"/>
      <c r="I11" s="579"/>
      <c r="J11" s="578"/>
      <c r="K11" s="579"/>
      <c r="L11" s="578"/>
      <c r="M11" s="579"/>
      <c r="N11" s="578"/>
      <c r="O11" s="579"/>
      <c r="P11" s="578"/>
      <c r="Q11" s="579"/>
      <c r="R11" s="578"/>
      <c r="S11" s="579"/>
      <c r="T11" s="578"/>
      <c r="U11" s="579"/>
      <c r="V11" s="578"/>
      <c r="W11" s="579"/>
      <c r="X11" s="578"/>
      <c r="Y11" s="579"/>
      <c r="Z11" s="578"/>
      <c r="AA11" s="579"/>
      <c r="AB11" s="578"/>
      <c r="AC11" s="579"/>
      <c r="AD11" s="578"/>
      <c r="AE11" s="579"/>
      <c r="AF11" s="578"/>
      <c r="AG11" s="579"/>
      <c r="AH11" s="578"/>
      <c r="AI11" s="579"/>
      <c r="AJ11" s="578"/>
      <c r="AK11" s="579"/>
      <c r="AL11" s="578"/>
      <c r="AM11" s="579"/>
      <c r="AN11" s="578"/>
      <c r="AO11" s="579"/>
      <c r="AP11" s="578"/>
      <c r="AQ11" s="579"/>
      <c r="AR11" s="578"/>
      <c r="AS11" s="579"/>
      <c r="AT11" s="578"/>
      <c r="AU11" s="579"/>
      <c r="AV11" s="578"/>
      <c r="AW11" s="579"/>
      <c r="AY11" s="450"/>
      <c r="AZ11" s="610"/>
      <c r="BA11" s="611" t="s">
        <v>407</v>
      </c>
      <c r="BB11" s="612"/>
      <c r="BC11" s="98"/>
      <c r="BD11" s="258"/>
      <c r="BE11" s="79"/>
      <c r="BF11" s="258"/>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row>
    <row r="12" spans="1:98" s="454" customFormat="1" ht="18.95" customHeight="1" x14ac:dyDescent="0.2">
      <c r="A12" s="241"/>
      <c r="B12" s="249">
        <v>38</v>
      </c>
      <c r="C12" s="252">
        <v>4</v>
      </c>
      <c r="D12" s="453" t="s">
        <v>518</v>
      </c>
      <c r="E12" s="259" t="s">
        <v>548</v>
      </c>
      <c r="F12" s="542"/>
      <c r="G12" s="563"/>
      <c r="H12" s="542"/>
      <c r="I12" s="563"/>
      <c r="J12" s="542"/>
      <c r="K12" s="563"/>
      <c r="L12" s="542"/>
      <c r="M12" s="563"/>
      <c r="N12" s="542"/>
      <c r="O12" s="563"/>
      <c r="P12" s="542"/>
      <c r="Q12" s="563"/>
      <c r="R12" s="542"/>
      <c r="S12" s="563"/>
      <c r="T12" s="542"/>
      <c r="U12" s="563"/>
      <c r="V12" s="542"/>
      <c r="W12" s="563"/>
      <c r="X12" s="542"/>
      <c r="Y12" s="563"/>
      <c r="Z12" s="542"/>
      <c r="AA12" s="563"/>
      <c r="AB12" s="542"/>
      <c r="AC12" s="563"/>
      <c r="AD12" s="542"/>
      <c r="AE12" s="563"/>
      <c r="AF12" s="542"/>
      <c r="AG12" s="563"/>
      <c r="AH12" s="542"/>
      <c r="AI12" s="563"/>
      <c r="AJ12" s="542"/>
      <c r="AK12" s="563"/>
      <c r="AL12" s="542"/>
      <c r="AM12" s="563"/>
      <c r="AN12" s="542"/>
      <c r="AO12" s="563"/>
      <c r="AP12" s="542"/>
      <c r="AQ12" s="563"/>
      <c r="AR12" s="542"/>
      <c r="AS12" s="563"/>
      <c r="AT12" s="542"/>
      <c r="AU12" s="563"/>
      <c r="AV12" s="542"/>
      <c r="AW12" s="563"/>
      <c r="AY12" s="455"/>
      <c r="AZ12" s="616">
        <v>4</v>
      </c>
      <c r="BA12" s="624" t="s">
        <v>204</v>
      </c>
      <c r="BB12" s="583" t="s">
        <v>199</v>
      </c>
      <c r="BC12" s="79" t="s">
        <v>457</v>
      </c>
      <c r="BD12" s="258"/>
      <c r="BE12" s="79" t="str">
        <f t="shared" ref="BE12:BE19" si="5">IF(OR(ISBLANK(F12),ISBLANK(H12)),"N/A",IF(ABS((H12-F12)/F12)&gt;1,"&gt; 100%","ok"))</f>
        <v>N/A</v>
      </c>
      <c r="BF12" s="258"/>
      <c r="BG12" s="82" t="str">
        <f t="shared" si="0"/>
        <v>N/A</v>
      </c>
      <c r="BH12" s="82"/>
      <c r="BI12" s="82" t="str">
        <f t="shared" ref="BI12:BI19" si="6">IF(OR(ISBLANK(J12),ISBLANK(L12)),"N/A",IF(ABS((L12-J12)/J12)&gt;0.25,"&gt; 25%","ok"))</f>
        <v>N/A</v>
      </c>
      <c r="BJ12" s="82"/>
      <c r="BK12" s="82" t="str">
        <f t="shared" ref="BK12:BK19" si="7">IF(OR(ISBLANK(L12),ISBLANK(N12)),"N/A",IF(ABS((N12-L12)/L12)&gt;0.25,"&gt; 25%","ok"))</f>
        <v>N/A</v>
      </c>
      <c r="BL12" s="82"/>
      <c r="BM12" s="82" t="str">
        <f t="shared" ref="BM12:BM19" si="8">IF(OR(ISBLANK(N12),ISBLANK(P12)),"N/A",IF(ABS((P12-N12)/N12)&gt;0.25,"&gt; 25%","ok"))</f>
        <v>N/A</v>
      </c>
      <c r="BN12" s="82"/>
      <c r="BO12" s="82" t="str">
        <f t="shared" ref="BO12:BO19" si="9">IF(OR(ISBLANK(P12),ISBLANK(R12)),"N/A",IF(ABS((R12-P12)/P12)&gt;0.25,"&gt; 25%","ok"))</f>
        <v>N/A</v>
      </c>
      <c r="BP12" s="82"/>
      <c r="BQ12" s="82" t="str">
        <f t="shared" ref="BQ12:BQ19" si="10">IF(OR(ISBLANK(R12),ISBLANK(T12)),"N/A",IF(ABS((T12-R12)/R12)&gt;0.25,"&gt; 25%","ok"))</f>
        <v>N/A</v>
      </c>
      <c r="BR12" s="82"/>
      <c r="BS12" s="82" t="str">
        <f t="shared" ref="BS12:BS19" si="11">IF(OR(ISBLANK(T12),ISBLANK(V12)),"N/A",IF(ABS((V12-T12)/T12)&gt;0.25,"&gt; 25%","ok"))</f>
        <v>N/A</v>
      </c>
      <c r="BT12" s="82"/>
      <c r="BU12" s="82" t="str">
        <f t="shared" ref="BU12:BU19" si="12">IF(OR(ISBLANK(V12),ISBLANK(X12)),"N/A",IF(ABS((X12-V12)/V12)&gt;0.25,"&gt; 25%","ok"))</f>
        <v>N/A</v>
      </c>
      <c r="BV12" s="82"/>
      <c r="BW12" s="82" t="str">
        <f t="shared" ref="BW12:BW19" si="13">IF(OR(ISBLANK(X12),ISBLANK(Z12)),"N/A",IF(ABS((Z12-X12)/X12)&gt;0.25,"&gt; 25%","ok"))</f>
        <v>N/A</v>
      </c>
      <c r="BX12" s="82"/>
      <c r="BY12" s="82" t="str">
        <f t="shared" ref="BY12:BY19" si="14">IF(OR(ISBLANK(Z12),ISBLANK(AB12)),"N/A",IF(ABS((AB12-Z12)/Z12)&gt;0.25,"&gt; 25%","ok"))</f>
        <v>N/A</v>
      </c>
      <c r="BZ12" s="82"/>
      <c r="CA12" s="82" t="str">
        <f t="shared" ref="CA12:CA19" si="15">IF(OR(ISBLANK(AB12),ISBLANK(AD12)),"N/A",IF(ABS((AD12-AB12)/AB12)&gt;0.25,"&gt; 25%","ok"))</f>
        <v>N/A</v>
      </c>
      <c r="CB12" s="82"/>
      <c r="CC12" s="82" t="str">
        <f t="shared" ref="CC12:CC19" si="16">IF(OR(ISBLANK(AD12),ISBLANK(AF12)),"N/A",IF(ABS((AF12-AD12)/AD12)&gt;0.25,"&gt; 25%","ok"))</f>
        <v>N/A</v>
      </c>
      <c r="CD12" s="82"/>
      <c r="CE12" s="82" t="str">
        <f t="shared" ref="CE12:CE19" si="17">IF(OR(ISBLANK(AF12),ISBLANK(AH12)),"N/A",IF(ABS((AH12-AF12)/AF12)&gt;0.25,"&gt; 25%","ok"))</f>
        <v>N/A</v>
      </c>
      <c r="CF12" s="82"/>
      <c r="CG12" s="82" t="str">
        <f t="shared" ref="CG12:CG19" si="18">IF(OR(ISBLANK(AH12),ISBLANK(AJ12)),"N/A",IF(ABS((AJ12-AH12)/AH12)&gt;0.25,"&gt; 25%","ok"))</f>
        <v>N/A</v>
      </c>
      <c r="CH12" s="82"/>
      <c r="CI12" s="82" t="str">
        <f t="shared" ref="CI12:CI19" si="19">IF(OR(ISBLANK(AJ12),ISBLANK(AL12)),"N/A",IF(ABS((AL12-AJ12)/AJ12)&gt;0.25,"&gt; 25%","ok"))</f>
        <v>N/A</v>
      </c>
      <c r="CJ12" s="82"/>
      <c r="CK12" s="82" t="str">
        <f t="shared" ref="CK12:CK19" si="20">IF(OR(ISBLANK(AL12),ISBLANK(AN12)),"N/A",IF(ABS((AN12-AL12)/AL12)&gt;0.25,"&gt; 25%","ok"))</f>
        <v>N/A</v>
      </c>
      <c r="CL12" s="82"/>
      <c r="CM12" s="82" t="str">
        <f t="shared" si="1"/>
        <v>N/A</v>
      </c>
      <c r="CN12" s="82"/>
      <c r="CO12" s="82" t="str">
        <f t="shared" si="2"/>
        <v>N/A</v>
      </c>
      <c r="CP12" s="82"/>
      <c r="CQ12" s="82" t="str">
        <f t="shared" si="3"/>
        <v>N/A</v>
      </c>
      <c r="CR12" s="82"/>
      <c r="CS12" s="82" t="str">
        <f t="shared" si="4"/>
        <v>N/A</v>
      </c>
      <c r="CT12" s="82"/>
    </row>
    <row r="13" spans="1:98" ht="24.75" customHeight="1" x14ac:dyDescent="0.2">
      <c r="B13" s="249">
        <v>81</v>
      </c>
      <c r="C13" s="385">
        <v>5</v>
      </c>
      <c r="D13" s="453" t="s">
        <v>121</v>
      </c>
      <c r="E13" s="259" t="s">
        <v>548</v>
      </c>
      <c r="F13" s="543"/>
      <c r="G13" s="564"/>
      <c r="H13" s="543"/>
      <c r="I13" s="564"/>
      <c r="J13" s="543"/>
      <c r="K13" s="564"/>
      <c r="L13" s="543"/>
      <c r="M13" s="564"/>
      <c r="N13" s="543"/>
      <c r="O13" s="564"/>
      <c r="P13" s="543"/>
      <c r="Q13" s="564"/>
      <c r="R13" s="543"/>
      <c r="S13" s="564"/>
      <c r="T13" s="543"/>
      <c r="U13" s="564"/>
      <c r="V13" s="543"/>
      <c r="W13" s="564"/>
      <c r="X13" s="543"/>
      <c r="Y13" s="564"/>
      <c r="Z13" s="543"/>
      <c r="AA13" s="564"/>
      <c r="AB13" s="543"/>
      <c r="AC13" s="564"/>
      <c r="AD13" s="543"/>
      <c r="AE13" s="564"/>
      <c r="AF13" s="543"/>
      <c r="AG13" s="564"/>
      <c r="AH13" s="543"/>
      <c r="AI13" s="564"/>
      <c r="AJ13" s="543"/>
      <c r="AK13" s="564"/>
      <c r="AL13" s="543"/>
      <c r="AM13" s="564"/>
      <c r="AN13" s="543"/>
      <c r="AO13" s="564"/>
      <c r="AP13" s="543"/>
      <c r="AQ13" s="564"/>
      <c r="AR13" s="543"/>
      <c r="AS13" s="564"/>
      <c r="AT13" s="543"/>
      <c r="AU13" s="564"/>
      <c r="AV13" s="543"/>
      <c r="AW13" s="564"/>
      <c r="AZ13" s="583">
        <v>5</v>
      </c>
      <c r="BA13" s="625" t="s">
        <v>465</v>
      </c>
      <c r="BB13" s="583" t="s">
        <v>199</v>
      </c>
      <c r="BC13" s="81" t="s">
        <v>457</v>
      </c>
      <c r="BD13" s="262"/>
      <c r="BE13" s="79" t="str">
        <f t="shared" si="5"/>
        <v>N/A</v>
      </c>
      <c r="BF13" s="262"/>
      <c r="BG13" s="82" t="str">
        <f t="shared" si="0"/>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1"/>
        <v>N/A</v>
      </c>
      <c r="CN13" s="82"/>
      <c r="CO13" s="82" t="str">
        <f t="shared" si="2"/>
        <v>N/A</v>
      </c>
      <c r="CP13" s="82"/>
      <c r="CQ13" s="82" t="str">
        <f t="shared" si="3"/>
        <v>N/A</v>
      </c>
      <c r="CR13" s="82"/>
      <c r="CS13" s="82" t="str">
        <f t="shared" si="4"/>
        <v>N/A</v>
      </c>
      <c r="CT13" s="82"/>
    </row>
    <row r="14" spans="1:98" ht="24.75" customHeight="1" x14ac:dyDescent="0.2">
      <c r="B14" s="249">
        <v>42</v>
      </c>
      <c r="C14" s="385">
        <v>6</v>
      </c>
      <c r="D14" s="453" t="s">
        <v>562</v>
      </c>
      <c r="E14" s="259" t="s">
        <v>548</v>
      </c>
      <c r="F14" s="543"/>
      <c r="G14" s="564"/>
      <c r="H14" s="543"/>
      <c r="I14" s="564"/>
      <c r="J14" s="543"/>
      <c r="K14" s="564"/>
      <c r="L14" s="543"/>
      <c r="M14" s="564"/>
      <c r="N14" s="543"/>
      <c r="O14" s="564"/>
      <c r="P14" s="543"/>
      <c r="Q14" s="564"/>
      <c r="R14" s="543"/>
      <c r="S14" s="564"/>
      <c r="T14" s="543"/>
      <c r="U14" s="564"/>
      <c r="V14" s="543"/>
      <c r="W14" s="564"/>
      <c r="X14" s="543"/>
      <c r="Y14" s="564"/>
      <c r="Z14" s="543"/>
      <c r="AA14" s="564"/>
      <c r="AB14" s="543"/>
      <c r="AC14" s="564"/>
      <c r="AD14" s="543"/>
      <c r="AE14" s="564"/>
      <c r="AF14" s="543"/>
      <c r="AG14" s="564"/>
      <c r="AH14" s="543"/>
      <c r="AI14" s="564"/>
      <c r="AJ14" s="543"/>
      <c r="AK14" s="564"/>
      <c r="AL14" s="543"/>
      <c r="AM14" s="564"/>
      <c r="AN14" s="543"/>
      <c r="AO14" s="564"/>
      <c r="AP14" s="543"/>
      <c r="AQ14" s="564"/>
      <c r="AR14" s="543"/>
      <c r="AS14" s="564"/>
      <c r="AT14" s="543"/>
      <c r="AU14" s="564"/>
      <c r="AV14" s="543"/>
      <c r="AW14" s="564"/>
      <c r="AZ14" s="583">
        <v>6</v>
      </c>
      <c r="BA14" s="625" t="s">
        <v>570</v>
      </c>
      <c r="BB14" s="583" t="s">
        <v>199</v>
      </c>
      <c r="BC14" s="81"/>
      <c r="BD14" s="262"/>
      <c r="BE14" s="79" t="str">
        <f t="shared" si="5"/>
        <v>N/A</v>
      </c>
      <c r="BF14" s="262"/>
      <c r="BG14" s="82" t="str">
        <f t="shared" si="0"/>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1"/>
        <v>N/A</v>
      </c>
      <c r="CN14" s="82"/>
      <c r="CO14" s="82" t="str">
        <f t="shared" si="2"/>
        <v>N/A</v>
      </c>
      <c r="CP14" s="82"/>
      <c r="CQ14" s="82" t="str">
        <f t="shared" si="3"/>
        <v>N/A</v>
      </c>
      <c r="CR14" s="82"/>
      <c r="CS14" s="82" t="str">
        <f t="shared" si="4"/>
        <v>N/A</v>
      </c>
      <c r="CT14" s="82"/>
    </row>
    <row r="15" spans="1:98" ht="18.95" customHeight="1" x14ac:dyDescent="0.2">
      <c r="B15" s="249">
        <v>33</v>
      </c>
      <c r="C15" s="385">
        <v>7</v>
      </c>
      <c r="D15" s="458" t="s">
        <v>519</v>
      </c>
      <c r="E15" s="259" t="s">
        <v>548</v>
      </c>
      <c r="F15" s="543"/>
      <c r="G15" s="564"/>
      <c r="H15" s="543"/>
      <c r="I15" s="564"/>
      <c r="J15" s="543"/>
      <c r="K15" s="564"/>
      <c r="L15" s="543"/>
      <c r="M15" s="564"/>
      <c r="N15" s="543"/>
      <c r="O15" s="564"/>
      <c r="P15" s="543"/>
      <c r="Q15" s="564"/>
      <c r="R15" s="543"/>
      <c r="S15" s="564"/>
      <c r="T15" s="543"/>
      <c r="U15" s="564"/>
      <c r="V15" s="543"/>
      <c r="W15" s="564"/>
      <c r="X15" s="543"/>
      <c r="Y15" s="564"/>
      <c r="Z15" s="543"/>
      <c r="AA15" s="564"/>
      <c r="AB15" s="543"/>
      <c r="AC15" s="564"/>
      <c r="AD15" s="543"/>
      <c r="AE15" s="564"/>
      <c r="AF15" s="543"/>
      <c r="AG15" s="564"/>
      <c r="AH15" s="543"/>
      <c r="AI15" s="564"/>
      <c r="AJ15" s="543"/>
      <c r="AK15" s="564"/>
      <c r="AL15" s="543"/>
      <c r="AM15" s="564"/>
      <c r="AN15" s="543"/>
      <c r="AO15" s="564"/>
      <c r="AP15" s="543"/>
      <c r="AQ15" s="564"/>
      <c r="AR15" s="543"/>
      <c r="AS15" s="564"/>
      <c r="AT15" s="543"/>
      <c r="AU15" s="564"/>
      <c r="AV15" s="543"/>
      <c r="AW15" s="564"/>
      <c r="AZ15" s="583">
        <v>7</v>
      </c>
      <c r="BA15" s="625" t="s">
        <v>367</v>
      </c>
      <c r="BB15" s="583" t="s">
        <v>199</v>
      </c>
      <c r="BC15" s="81" t="s">
        <v>457</v>
      </c>
      <c r="BD15" s="262"/>
      <c r="BE15" s="79" t="str">
        <f t="shared" si="5"/>
        <v>N/A</v>
      </c>
      <c r="BF15" s="262"/>
      <c r="BG15" s="82" t="str">
        <f t="shared" si="0"/>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1"/>
        <v>N/A</v>
      </c>
      <c r="CN15" s="82"/>
      <c r="CO15" s="82" t="str">
        <f t="shared" si="2"/>
        <v>N/A</v>
      </c>
      <c r="CP15" s="82"/>
      <c r="CQ15" s="82" t="str">
        <f t="shared" si="3"/>
        <v>N/A</v>
      </c>
      <c r="CR15" s="82"/>
      <c r="CS15" s="82" t="str">
        <f t="shared" si="4"/>
        <v>N/A</v>
      </c>
      <c r="CT15" s="82"/>
    </row>
    <row r="16" spans="1:98" ht="41.1" customHeight="1" x14ac:dyDescent="0.2">
      <c r="B16" s="249">
        <v>44</v>
      </c>
      <c r="C16" s="252">
        <v>8</v>
      </c>
      <c r="D16" s="642" t="s">
        <v>563</v>
      </c>
      <c r="E16" s="259" t="s">
        <v>548</v>
      </c>
      <c r="F16" s="543"/>
      <c r="G16" s="564"/>
      <c r="H16" s="543"/>
      <c r="I16" s="564"/>
      <c r="J16" s="543"/>
      <c r="K16" s="564"/>
      <c r="L16" s="543"/>
      <c r="M16" s="564"/>
      <c r="N16" s="543"/>
      <c r="O16" s="564"/>
      <c r="P16" s="543"/>
      <c r="Q16" s="564"/>
      <c r="R16" s="543"/>
      <c r="S16" s="564"/>
      <c r="T16" s="543"/>
      <c r="U16" s="564"/>
      <c r="V16" s="543"/>
      <c r="W16" s="564"/>
      <c r="X16" s="543"/>
      <c r="Y16" s="564"/>
      <c r="Z16" s="543"/>
      <c r="AA16" s="564"/>
      <c r="AB16" s="543"/>
      <c r="AC16" s="564"/>
      <c r="AD16" s="543"/>
      <c r="AE16" s="564"/>
      <c r="AF16" s="543"/>
      <c r="AG16" s="564"/>
      <c r="AH16" s="543"/>
      <c r="AI16" s="564"/>
      <c r="AJ16" s="543"/>
      <c r="AK16" s="564"/>
      <c r="AL16" s="543"/>
      <c r="AM16" s="564"/>
      <c r="AN16" s="543"/>
      <c r="AO16" s="564"/>
      <c r="AP16" s="543"/>
      <c r="AQ16" s="564"/>
      <c r="AR16" s="543"/>
      <c r="AS16" s="564"/>
      <c r="AT16" s="543"/>
      <c r="AU16" s="564"/>
      <c r="AV16" s="543"/>
      <c r="AW16" s="564"/>
      <c r="AZ16" s="616">
        <v>8</v>
      </c>
      <c r="BA16" s="626" t="s">
        <v>580</v>
      </c>
      <c r="BB16" s="583" t="s">
        <v>199</v>
      </c>
      <c r="BC16" s="81"/>
      <c r="BD16" s="262"/>
      <c r="BE16" s="79" t="str">
        <f t="shared" si="5"/>
        <v>N/A</v>
      </c>
      <c r="BF16" s="262"/>
      <c r="BG16" s="82" t="str">
        <f t="shared" si="0"/>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1"/>
        <v>N/A</v>
      </c>
      <c r="CN16" s="82"/>
      <c r="CO16" s="82" t="str">
        <f t="shared" si="2"/>
        <v>N/A</v>
      </c>
      <c r="CP16" s="82"/>
      <c r="CQ16" s="82" t="str">
        <f t="shared" si="3"/>
        <v>N/A</v>
      </c>
      <c r="CR16" s="82"/>
      <c r="CS16" s="82" t="str">
        <f t="shared" si="4"/>
        <v>N/A</v>
      </c>
      <c r="CT16" s="82"/>
    </row>
    <row r="17" spans="1:98" ht="24" customHeight="1" x14ac:dyDescent="0.2">
      <c r="B17" s="249">
        <v>82</v>
      </c>
      <c r="C17" s="252">
        <v>9</v>
      </c>
      <c r="D17" s="643" t="s">
        <v>568</v>
      </c>
      <c r="E17" s="259" t="s">
        <v>548</v>
      </c>
      <c r="F17" s="543"/>
      <c r="G17" s="564"/>
      <c r="H17" s="543"/>
      <c r="I17" s="564"/>
      <c r="J17" s="543"/>
      <c r="K17" s="564"/>
      <c r="L17" s="543"/>
      <c r="M17" s="564"/>
      <c r="N17" s="543"/>
      <c r="O17" s="564"/>
      <c r="P17" s="543"/>
      <c r="Q17" s="564"/>
      <c r="R17" s="543"/>
      <c r="S17" s="564"/>
      <c r="T17" s="543"/>
      <c r="U17" s="564"/>
      <c r="V17" s="543"/>
      <c r="W17" s="564"/>
      <c r="X17" s="543"/>
      <c r="Y17" s="564"/>
      <c r="Z17" s="543"/>
      <c r="AA17" s="564"/>
      <c r="AB17" s="543"/>
      <c r="AC17" s="564"/>
      <c r="AD17" s="543"/>
      <c r="AE17" s="564"/>
      <c r="AF17" s="543"/>
      <c r="AG17" s="564"/>
      <c r="AH17" s="543"/>
      <c r="AI17" s="564"/>
      <c r="AJ17" s="543"/>
      <c r="AK17" s="564"/>
      <c r="AL17" s="543"/>
      <c r="AM17" s="564"/>
      <c r="AN17" s="543"/>
      <c r="AO17" s="564"/>
      <c r="AP17" s="543"/>
      <c r="AQ17" s="564"/>
      <c r="AR17" s="543"/>
      <c r="AS17" s="564"/>
      <c r="AT17" s="543"/>
      <c r="AU17" s="564"/>
      <c r="AV17" s="543"/>
      <c r="AW17" s="564"/>
      <c r="AZ17" s="616">
        <v>9</v>
      </c>
      <c r="BA17" s="627" t="s">
        <v>581</v>
      </c>
      <c r="BB17" s="583" t="s">
        <v>199</v>
      </c>
      <c r="BC17" s="81" t="s">
        <v>457</v>
      </c>
      <c r="BD17" s="262"/>
      <c r="BE17" s="79" t="str">
        <f t="shared" si="5"/>
        <v>N/A</v>
      </c>
      <c r="BF17" s="262"/>
      <c r="BG17" s="82" t="str">
        <f t="shared" si="0"/>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1"/>
        <v>N/A</v>
      </c>
      <c r="CN17" s="82"/>
      <c r="CO17" s="82" t="str">
        <f t="shared" si="2"/>
        <v>N/A</v>
      </c>
      <c r="CP17" s="82"/>
      <c r="CQ17" s="82" t="str">
        <f t="shared" si="3"/>
        <v>N/A</v>
      </c>
      <c r="CR17" s="82"/>
      <c r="CS17" s="82" t="str">
        <f t="shared" si="4"/>
        <v>N/A</v>
      </c>
      <c r="CT17" s="82"/>
    </row>
    <row r="18" spans="1:98" ht="18.95" customHeight="1" x14ac:dyDescent="0.2">
      <c r="B18" s="249">
        <v>46</v>
      </c>
      <c r="C18" s="252">
        <v>10</v>
      </c>
      <c r="D18" s="458" t="s">
        <v>564</v>
      </c>
      <c r="E18" s="259" t="s">
        <v>548</v>
      </c>
      <c r="F18" s="554"/>
      <c r="G18" s="569"/>
      <c r="H18" s="554"/>
      <c r="I18" s="569"/>
      <c r="J18" s="554"/>
      <c r="K18" s="569"/>
      <c r="L18" s="554"/>
      <c r="M18" s="569"/>
      <c r="N18" s="554"/>
      <c r="O18" s="569"/>
      <c r="P18" s="554"/>
      <c r="Q18" s="569"/>
      <c r="R18" s="554"/>
      <c r="S18" s="569"/>
      <c r="T18" s="554"/>
      <c r="U18" s="569"/>
      <c r="V18" s="554"/>
      <c r="W18" s="569"/>
      <c r="X18" s="554"/>
      <c r="Y18" s="569"/>
      <c r="Z18" s="554"/>
      <c r="AA18" s="569"/>
      <c r="AB18" s="554"/>
      <c r="AC18" s="569"/>
      <c r="AD18" s="554"/>
      <c r="AE18" s="569"/>
      <c r="AF18" s="554"/>
      <c r="AG18" s="569"/>
      <c r="AH18" s="554"/>
      <c r="AI18" s="569"/>
      <c r="AJ18" s="554"/>
      <c r="AK18" s="569"/>
      <c r="AL18" s="554"/>
      <c r="AM18" s="569"/>
      <c r="AN18" s="554"/>
      <c r="AO18" s="569"/>
      <c r="AP18" s="554"/>
      <c r="AQ18" s="569"/>
      <c r="AR18" s="554"/>
      <c r="AS18" s="569"/>
      <c r="AT18" s="554"/>
      <c r="AU18" s="569"/>
      <c r="AV18" s="554"/>
      <c r="AW18" s="569"/>
      <c r="AZ18" s="616">
        <v>10</v>
      </c>
      <c r="BA18" s="624" t="s">
        <v>573</v>
      </c>
      <c r="BB18" s="583" t="s">
        <v>199</v>
      </c>
      <c r="BC18" s="272"/>
      <c r="BD18" s="273"/>
      <c r="BE18" s="79" t="str">
        <f t="shared" si="5"/>
        <v>N/A</v>
      </c>
      <c r="BF18" s="262"/>
      <c r="BG18" s="82" t="str">
        <f t="shared" si="0"/>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1"/>
        <v>N/A</v>
      </c>
      <c r="CN18" s="82"/>
      <c r="CO18" s="82" t="str">
        <f t="shared" si="2"/>
        <v>N/A</v>
      </c>
      <c r="CP18" s="82"/>
      <c r="CQ18" s="82" t="str">
        <f t="shared" si="3"/>
        <v>N/A</v>
      </c>
      <c r="CR18" s="82"/>
      <c r="CS18" s="82" t="str">
        <f t="shared" si="4"/>
        <v>N/A</v>
      </c>
      <c r="CT18" s="82"/>
    </row>
    <row r="19" spans="1:98" ht="18.95" customHeight="1" x14ac:dyDescent="0.2">
      <c r="B19" s="249">
        <v>48</v>
      </c>
      <c r="C19" s="385">
        <v>11</v>
      </c>
      <c r="D19" s="459" t="s">
        <v>520</v>
      </c>
      <c r="E19" s="259" t="s">
        <v>548</v>
      </c>
      <c r="F19" s="554"/>
      <c r="G19" s="569"/>
      <c r="H19" s="554"/>
      <c r="I19" s="569"/>
      <c r="J19" s="554"/>
      <c r="K19" s="569"/>
      <c r="L19" s="554"/>
      <c r="M19" s="569"/>
      <c r="N19" s="554"/>
      <c r="O19" s="569"/>
      <c r="P19" s="554"/>
      <c r="Q19" s="569"/>
      <c r="R19" s="554"/>
      <c r="S19" s="569"/>
      <c r="T19" s="554"/>
      <c r="U19" s="569"/>
      <c r="V19" s="554"/>
      <c r="W19" s="569"/>
      <c r="X19" s="554"/>
      <c r="Y19" s="569"/>
      <c r="Z19" s="554"/>
      <c r="AA19" s="569"/>
      <c r="AB19" s="554"/>
      <c r="AC19" s="569"/>
      <c r="AD19" s="554"/>
      <c r="AE19" s="569"/>
      <c r="AF19" s="554"/>
      <c r="AG19" s="569"/>
      <c r="AH19" s="554"/>
      <c r="AI19" s="569"/>
      <c r="AJ19" s="554"/>
      <c r="AK19" s="569"/>
      <c r="AL19" s="554"/>
      <c r="AM19" s="569"/>
      <c r="AN19" s="554"/>
      <c r="AO19" s="569"/>
      <c r="AP19" s="554"/>
      <c r="AQ19" s="569"/>
      <c r="AR19" s="554"/>
      <c r="AS19" s="569"/>
      <c r="AT19" s="554"/>
      <c r="AU19" s="569"/>
      <c r="AV19" s="554"/>
      <c r="AW19" s="569"/>
      <c r="AZ19" s="583">
        <v>11</v>
      </c>
      <c r="BA19" s="628" t="s">
        <v>205</v>
      </c>
      <c r="BB19" s="583" t="s">
        <v>199</v>
      </c>
      <c r="BC19" s="272" t="s">
        <v>457</v>
      </c>
      <c r="BD19" s="273"/>
      <c r="BE19" s="79" t="str">
        <f t="shared" si="5"/>
        <v>N/A</v>
      </c>
      <c r="BF19" s="273"/>
      <c r="BG19" s="82" t="str">
        <f t="shared" si="0"/>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1"/>
        <v>N/A</v>
      </c>
      <c r="CN19" s="82"/>
      <c r="CO19" s="82" t="str">
        <f t="shared" si="2"/>
        <v>N/A</v>
      </c>
      <c r="CP19" s="82"/>
      <c r="CQ19" s="82" t="str">
        <f t="shared" si="3"/>
        <v>N/A</v>
      </c>
      <c r="CR19" s="82"/>
      <c r="CS19" s="82" t="str">
        <f t="shared" si="4"/>
        <v>N/A</v>
      </c>
      <c r="CT19" s="82"/>
    </row>
    <row r="20" spans="1:98" ht="15.95" customHeight="1" x14ac:dyDescent="0.2">
      <c r="B20" s="192">
        <v>5009</v>
      </c>
      <c r="C20" s="272"/>
      <c r="D20" s="460" t="s">
        <v>521</v>
      </c>
      <c r="E20" s="272"/>
      <c r="F20" s="615"/>
      <c r="G20" s="584"/>
      <c r="H20" s="615"/>
      <c r="I20" s="584"/>
      <c r="J20" s="615"/>
      <c r="K20" s="584"/>
      <c r="L20" s="615"/>
      <c r="M20" s="584"/>
      <c r="N20" s="615"/>
      <c r="O20" s="584"/>
      <c r="P20" s="615"/>
      <c r="Q20" s="584"/>
      <c r="R20" s="615"/>
      <c r="S20" s="584"/>
      <c r="T20" s="615"/>
      <c r="U20" s="584"/>
      <c r="V20" s="615"/>
      <c r="W20" s="584"/>
      <c r="X20" s="615"/>
      <c r="Y20" s="584"/>
      <c r="Z20" s="615"/>
      <c r="AA20" s="584"/>
      <c r="AB20" s="615"/>
      <c r="AC20" s="584"/>
      <c r="AD20" s="615"/>
      <c r="AE20" s="584"/>
      <c r="AF20" s="615"/>
      <c r="AG20" s="584"/>
      <c r="AH20" s="615"/>
      <c r="AI20" s="584"/>
      <c r="AJ20" s="615"/>
      <c r="AK20" s="584"/>
      <c r="AL20" s="615"/>
      <c r="AM20" s="584"/>
      <c r="AN20" s="615"/>
      <c r="AO20" s="584"/>
      <c r="AP20" s="615"/>
      <c r="AQ20" s="584"/>
      <c r="AR20" s="615"/>
      <c r="AS20" s="584"/>
      <c r="AT20" s="615"/>
      <c r="AU20" s="584"/>
      <c r="AV20" s="615"/>
      <c r="AW20" s="584"/>
      <c r="AZ20" s="671"/>
      <c r="BA20" s="672" t="s">
        <v>366</v>
      </c>
      <c r="BB20" s="671"/>
      <c r="BC20" s="272" t="s">
        <v>457</v>
      </c>
      <c r="BD20" s="273"/>
      <c r="BE20" s="79"/>
      <c r="BF20" s="273"/>
      <c r="BG20" s="82"/>
      <c r="BH20" s="273"/>
      <c r="BI20" s="673"/>
      <c r="BJ20" s="273"/>
      <c r="BK20" s="272"/>
      <c r="BL20" s="273"/>
      <c r="BM20" s="272"/>
      <c r="BN20" s="273"/>
      <c r="BO20" s="272"/>
      <c r="BP20" s="273"/>
      <c r="BQ20" s="272"/>
      <c r="BR20" s="273"/>
      <c r="BS20" s="272"/>
      <c r="BT20" s="273"/>
      <c r="BU20" s="272"/>
      <c r="BV20" s="273"/>
      <c r="BW20" s="673"/>
      <c r="BX20" s="273"/>
      <c r="BY20" s="272"/>
      <c r="BZ20" s="273"/>
      <c r="CA20" s="272"/>
      <c r="CB20" s="273"/>
      <c r="CC20" s="272"/>
      <c r="CD20" s="273"/>
      <c r="CE20" s="82"/>
      <c r="CF20" s="273"/>
      <c r="CG20" s="272"/>
      <c r="CH20" s="273"/>
      <c r="CI20" s="272"/>
      <c r="CJ20" s="273"/>
      <c r="CK20" s="272"/>
      <c r="CL20" s="273"/>
      <c r="CM20" s="82"/>
      <c r="CN20" s="273"/>
      <c r="CO20" s="82"/>
      <c r="CP20" s="82"/>
      <c r="CQ20" s="82"/>
      <c r="CR20" s="82"/>
      <c r="CS20" s="82"/>
      <c r="CT20" s="82"/>
    </row>
    <row r="21" spans="1:98" s="461" customFormat="1" ht="36" customHeight="1" x14ac:dyDescent="0.2">
      <c r="A21" s="405"/>
      <c r="B21" s="249">
        <v>277</v>
      </c>
      <c r="C21" s="389">
        <v>12</v>
      </c>
      <c r="D21" s="268" t="s">
        <v>539</v>
      </c>
      <c r="E21" s="259" t="s">
        <v>188</v>
      </c>
      <c r="F21" s="543"/>
      <c r="G21" s="564"/>
      <c r="H21" s="543"/>
      <c r="I21" s="564"/>
      <c r="J21" s="543"/>
      <c r="K21" s="564"/>
      <c r="L21" s="543"/>
      <c r="M21" s="564"/>
      <c r="N21" s="543"/>
      <c r="O21" s="564"/>
      <c r="P21" s="543"/>
      <c r="Q21" s="564"/>
      <c r="R21" s="543"/>
      <c r="S21" s="564"/>
      <c r="T21" s="543"/>
      <c r="U21" s="564"/>
      <c r="V21" s="543"/>
      <c r="W21" s="564"/>
      <c r="X21" s="543"/>
      <c r="Y21" s="564"/>
      <c r="Z21" s="543"/>
      <c r="AA21" s="564"/>
      <c r="AB21" s="543"/>
      <c r="AC21" s="564"/>
      <c r="AD21" s="543"/>
      <c r="AE21" s="564"/>
      <c r="AF21" s="543"/>
      <c r="AG21" s="564"/>
      <c r="AH21" s="543"/>
      <c r="AI21" s="564"/>
      <c r="AJ21" s="543"/>
      <c r="AK21" s="564"/>
      <c r="AL21" s="543"/>
      <c r="AM21" s="564"/>
      <c r="AN21" s="543"/>
      <c r="AO21" s="564"/>
      <c r="AP21" s="543"/>
      <c r="AQ21" s="564"/>
      <c r="AR21" s="543"/>
      <c r="AS21" s="564"/>
      <c r="AT21" s="543"/>
      <c r="AU21" s="564"/>
      <c r="AV21" s="543"/>
      <c r="AW21" s="564"/>
      <c r="AY21" s="403"/>
      <c r="AZ21" s="612">
        <v>12</v>
      </c>
      <c r="BA21" s="622" t="s">
        <v>408</v>
      </c>
      <c r="BB21" s="583" t="s">
        <v>188</v>
      </c>
      <c r="BC21" s="81" t="s">
        <v>457</v>
      </c>
      <c r="BD21" s="262"/>
      <c r="BE21" s="82" t="str">
        <f>IF(OR(ISBLANK(F21),ISBLANK(H21)),"N/A",IF(ABS(H21-F21)&gt;25,"&gt; 25%","ok"))</f>
        <v>N/A</v>
      </c>
      <c r="BF21" s="262"/>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262"/>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1"/>
        <v>N/A</v>
      </c>
      <c r="CN21" s="82"/>
      <c r="CO21" s="82" t="str">
        <f t="shared" si="2"/>
        <v>N/A</v>
      </c>
      <c r="CP21" s="82"/>
      <c r="CQ21" s="82" t="str">
        <f t="shared" si="3"/>
        <v>N/A</v>
      </c>
      <c r="CR21" s="82"/>
      <c r="CS21" s="82" t="str">
        <f t="shared" si="4"/>
        <v>N/A</v>
      </c>
      <c r="CT21" s="82"/>
    </row>
    <row r="22" spans="1:98" s="461" customFormat="1" ht="24.75" customHeight="1" x14ac:dyDescent="0.2">
      <c r="A22" s="405"/>
      <c r="B22" s="249">
        <v>261</v>
      </c>
      <c r="C22" s="385">
        <v>13</v>
      </c>
      <c r="D22" s="266" t="s">
        <v>485</v>
      </c>
      <c r="E22" s="259" t="s">
        <v>188</v>
      </c>
      <c r="F22" s="543"/>
      <c r="G22" s="564"/>
      <c r="H22" s="543"/>
      <c r="I22" s="564"/>
      <c r="J22" s="543"/>
      <c r="K22" s="564"/>
      <c r="L22" s="543"/>
      <c r="M22" s="564"/>
      <c r="N22" s="543"/>
      <c r="O22" s="564"/>
      <c r="P22" s="543"/>
      <c r="Q22" s="564"/>
      <c r="R22" s="543"/>
      <c r="S22" s="564"/>
      <c r="T22" s="543"/>
      <c r="U22" s="564"/>
      <c r="V22" s="543"/>
      <c r="W22" s="564"/>
      <c r="X22" s="543"/>
      <c r="Y22" s="564"/>
      <c r="Z22" s="543"/>
      <c r="AA22" s="564"/>
      <c r="AB22" s="543"/>
      <c r="AC22" s="564"/>
      <c r="AD22" s="543"/>
      <c r="AE22" s="564"/>
      <c r="AF22" s="543"/>
      <c r="AG22" s="564"/>
      <c r="AH22" s="543"/>
      <c r="AI22" s="564"/>
      <c r="AJ22" s="543"/>
      <c r="AK22" s="564"/>
      <c r="AL22" s="543"/>
      <c r="AM22" s="564"/>
      <c r="AN22" s="543"/>
      <c r="AO22" s="564"/>
      <c r="AP22" s="543"/>
      <c r="AQ22" s="564"/>
      <c r="AR22" s="543"/>
      <c r="AS22" s="564"/>
      <c r="AT22" s="543"/>
      <c r="AU22" s="564"/>
      <c r="AV22" s="543"/>
      <c r="AW22" s="564"/>
      <c r="AY22" s="403"/>
      <c r="AZ22" s="583">
        <v>13</v>
      </c>
      <c r="BA22" s="623" t="s">
        <v>368</v>
      </c>
      <c r="BB22" s="583" t="s">
        <v>188</v>
      </c>
      <c r="BC22" s="81" t="s">
        <v>457</v>
      </c>
      <c r="BD22" s="262"/>
      <c r="BE22" s="82" t="str">
        <f>IF(OR(ISBLANK(F22),ISBLANK(H22)),"N/A",IF(ABS(H22-F22)&gt;25,"&gt; 25%","ok"))</f>
        <v>N/A</v>
      </c>
      <c r="BF22" s="262"/>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262"/>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2"/>
        <v>N/A</v>
      </c>
      <c r="CP22" s="82"/>
      <c r="CQ22" s="82" t="str">
        <f t="shared" si="3"/>
        <v>N/A</v>
      </c>
      <c r="CR22" s="82"/>
      <c r="CS22" s="82" t="str">
        <f t="shared" si="4"/>
        <v>N/A</v>
      </c>
      <c r="CT22" s="82"/>
    </row>
    <row r="23" spans="1:98" s="461" customFormat="1" ht="24.75" customHeight="1" x14ac:dyDescent="0.2">
      <c r="A23" s="405"/>
      <c r="B23" s="249">
        <v>262</v>
      </c>
      <c r="C23" s="279">
        <v>14</v>
      </c>
      <c r="D23" s="280" t="s">
        <v>487</v>
      </c>
      <c r="E23" s="278" t="s">
        <v>188</v>
      </c>
      <c r="F23" s="555"/>
      <c r="G23" s="570"/>
      <c r="H23" s="555"/>
      <c r="I23" s="570"/>
      <c r="J23" s="555"/>
      <c r="K23" s="570"/>
      <c r="L23" s="555"/>
      <c r="M23" s="570"/>
      <c r="N23" s="555"/>
      <c r="O23" s="570"/>
      <c r="P23" s="555"/>
      <c r="Q23" s="570"/>
      <c r="R23" s="555"/>
      <c r="S23" s="570"/>
      <c r="T23" s="555"/>
      <c r="U23" s="570"/>
      <c r="V23" s="555"/>
      <c r="W23" s="570"/>
      <c r="X23" s="555"/>
      <c r="Y23" s="570"/>
      <c r="Z23" s="555"/>
      <c r="AA23" s="570"/>
      <c r="AB23" s="555"/>
      <c r="AC23" s="570"/>
      <c r="AD23" s="555"/>
      <c r="AE23" s="570"/>
      <c r="AF23" s="555"/>
      <c r="AG23" s="570"/>
      <c r="AH23" s="555"/>
      <c r="AI23" s="570"/>
      <c r="AJ23" s="555"/>
      <c r="AK23" s="570"/>
      <c r="AL23" s="555"/>
      <c r="AM23" s="570"/>
      <c r="AN23" s="555"/>
      <c r="AO23" s="570"/>
      <c r="AP23" s="555"/>
      <c r="AQ23" s="570"/>
      <c r="AR23" s="555"/>
      <c r="AS23" s="570"/>
      <c r="AT23" s="555"/>
      <c r="AU23" s="570"/>
      <c r="AV23" s="555"/>
      <c r="AW23" s="570"/>
      <c r="AY23" s="403"/>
      <c r="AZ23" s="629">
        <v>14</v>
      </c>
      <c r="BA23" s="630" t="s">
        <v>369</v>
      </c>
      <c r="BB23" s="629" t="s">
        <v>188</v>
      </c>
      <c r="BC23" s="96" t="s">
        <v>457</v>
      </c>
      <c r="BD23" s="283"/>
      <c r="BE23" s="80" t="str">
        <f>IF(OR(ISBLANK(F23),ISBLANK(H23)),"N/A",IF(ABS(H23-F23)&gt;25,"&gt; 25%","ok"))</f>
        <v>N/A</v>
      </c>
      <c r="BF23" s="283"/>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283"/>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1"/>
        <v>N/A</v>
      </c>
      <c r="CN23" s="80"/>
      <c r="CO23" s="80" t="str">
        <f t="shared" si="2"/>
        <v>N/A</v>
      </c>
      <c r="CP23" s="80"/>
      <c r="CQ23" s="80" t="str">
        <f t="shared" si="3"/>
        <v>N/A</v>
      </c>
      <c r="CR23" s="80"/>
      <c r="CS23" s="80" t="str">
        <f t="shared" si="4"/>
        <v>N/A</v>
      </c>
      <c r="CT23" s="80"/>
    </row>
    <row r="24" spans="1:98" ht="7.35" customHeight="1" x14ac:dyDescent="0.2">
      <c r="D24" s="285"/>
      <c r="AZ24" s="631" t="s">
        <v>429</v>
      </c>
      <c r="BA24" s="597"/>
      <c r="BB24" s="597"/>
    </row>
    <row r="25" spans="1:98" ht="15" customHeight="1" x14ac:dyDescent="0.25">
      <c r="C25" s="372" t="s">
        <v>480</v>
      </c>
      <c r="D25" s="463"/>
      <c r="E25" s="464"/>
      <c r="F25" s="372"/>
      <c r="G25" s="372"/>
      <c r="AZ25" s="632" t="s">
        <v>195</v>
      </c>
      <c r="BA25" s="632" t="s">
        <v>196</v>
      </c>
      <c r="BB25" s="632" t="s">
        <v>197</v>
      </c>
      <c r="BC25" s="571">
        <v>1990</v>
      </c>
      <c r="BD25" s="572"/>
      <c r="BE25" s="571">
        <v>1995</v>
      </c>
      <c r="BF25" s="572"/>
      <c r="BG25" s="571">
        <v>2000</v>
      </c>
      <c r="BH25" s="572"/>
      <c r="BI25" s="571">
        <v>2001</v>
      </c>
      <c r="BJ25" s="572"/>
      <c r="BK25" s="571">
        <v>2002</v>
      </c>
      <c r="BL25" s="572"/>
      <c r="BM25" s="571">
        <v>2003</v>
      </c>
      <c r="BN25" s="572"/>
      <c r="BO25" s="571">
        <v>2004</v>
      </c>
      <c r="BP25" s="572"/>
      <c r="BQ25" s="571">
        <v>2005</v>
      </c>
      <c r="BR25" s="572"/>
      <c r="BS25" s="571">
        <v>2006</v>
      </c>
      <c r="BT25" s="572"/>
      <c r="BU25" s="571">
        <v>2007</v>
      </c>
      <c r="BV25" s="572"/>
      <c r="BW25" s="571">
        <v>2008</v>
      </c>
      <c r="BX25" s="572"/>
      <c r="BY25" s="571">
        <v>2009</v>
      </c>
      <c r="BZ25" s="572"/>
      <c r="CA25" s="571">
        <v>2010</v>
      </c>
      <c r="CB25" s="572"/>
      <c r="CC25" s="571">
        <v>2011</v>
      </c>
      <c r="CD25" s="575"/>
      <c r="CE25" s="571">
        <v>2012</v>
      </c>
      <c r="CF25" s="572"/>
      <c r="CG25" s="571">
        <v>2013</v>
      </c>
      <c r="CH25" s="572"/>
      <c r="CI25" s="571">
        <v>2014</v>
      </c>
      <c r="CJ25" s="575"/>
      <c r="CK25" s="571">
        <v>2015</v>
      </c>
      <c r="CL25" s="572"/>
      <c r="CM25" s="244">
        <v>2016</v>
      </c>
      <c r="CN25" s="244"/>
      <c r="CO25" s="244">
        <v>2017</v>
      </c>
      <c r="CP25" s="244"/>
      <c r="CQ25" s="244">
        <v>2018</v>
      </c>
      <c r="CR25" s="244"/>
      <c r="CS25" s="244">
        <v>2019</v>
      </c>
      <c r="CT25" s="244"/>
    </row>
    <row r="26" spans="1:98" ht="12.6" customHeight="1" x14ac:dyDescent="0.2">
      <c r="C26" s="292" t="s">
        <v>474</v>
      </c>
      <c r="D26" s="783" t="s">
        <v>522</v>
      </c>
      <c r="E26" s="783"/>
      <c r="F26" s="783"/>
      <c r="G26" s="783"/>
      <c r="H26" s="783"/>
      <c r="I26" s="783"/>
      <c r="J26" s="783"/>
      <c r="K26" s="783"/>
      <c r="L26" s="783"/>
      <c r="M26" s="783"/>
      <c r="N26" s="783"/>
      <c r="O26" s="783"/>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3"/>
      <c r="AW26" s="783"/>
      <c r="AX26" s="783"/>
      <c r="AY26" s="465"/>
      <c r="AZ26" s="583">
        <v>3</v>
      </c>
      <c r="BA26" s="622" t="s">
        <v>579</v>
      </c>
      <c r="BB26" s="583" t="s">
        <v>199</v>
      </c>
      <c r="BC26" s="81">
        <f>F10</f>
        <v>0</v>
      </c>
      <c r="BD26" s="81"/>
      <c r="BE26" s="81">
        <f>H10</f>
        <v>0</v>
      </c>
      <c r="BF26" s="81"/>
      <c r="BG26" s="81">
        <f>J10</f>
        <v>0</v>
      </c>
      <c r="BH26" s="81"/>
      <c r="BI26" s="81">
        <f>L10</f>
        <v>0</v>
      </c>
      <c r="BJ26" s="81"/>
      <c r="BK26" s="81">
        <f>N10</f>
        <v>0</v>
      </c>
      <c r="BL26" s="81"/>
      <c r="BM26" s="81">
        <f>P10</f>
        <v>0</v>
      </c>
      <c r="BN26" s="81"/>
      <c r="BO26" s="81">
        <f>R10</f>
        <v>0</v>
      </c>
      <c r="BP26" s="81"/>
      <c r="BQ26" s="81">
        <f>T10</f>
        <v>0</v>
      </c>
      <c r="BR26" s="81"/>
      <c r="BS26" s="81">
        <f>V10</f>
        <v>0</v>
      </c>
      <c r="BT26" s="81"/>
      <c r="BU26" s="81">
        <f>X10</f>
        <v>0</v>
      </c>
      <c r="BV26" s="81"/>
      <c r="BW26" s="81">
        <f>Z10</f>
        <v>0</v>
      </c>
      <c r="BX26" s="81"/>
      <c r="BY26" s="81">
        <f>AB10</f>
        <v>0</v>
      </c>
      <c r="BZ26" s="81"/>
      <c r="CA26" s="81">
        <f>AD10</f>
        <v>0</v>
      </c>
      <c r="CB26" s="81"/>
      <c r="CC26" s="81">
        <f>AF10</f>
        <v>0</v>
      </c>
      <c r="CD26" s="81"/>
      <c r="CE26" s="81">
        <f>AH10</f>
        <v>0</v>
      </c>
      <c r="CF26" s="81"/>
      <c r="CG26" s="81">
        <f>AJ10</f>
        <v>0</v>
      </c>
      <c r="CH26" s="81"/>
      <c r="CI26" s="81">
        <f>AL10</f>
        <v>0</v>
      </c>
      <c r="CJ26" s="81"/>
      <c r="CK26" s="81">
        <f>AN10</f>
        <v>0</v>
      </c>
      <c r="CL26" s="81"/>
      <c r="CM26" s="81">
        <f>AP10</f>
        <v>0</v>
      </c>
      <c r="CN26" s="81"/>
      <c r="CO26" s="81">
        <f>AR10</f>
        <v>0</v>
      </c>
      <c r="CP26" s="81"/>
      <c r="CQ26" s="81">
        <f>AT10</f>
        <v>0</v>
      </c>
      <c r="CR26" s="81"/>
      <c r="CS26" s="81">
        <f>AV10</f>
        <v>0</v>
      </c>
      <c r="CT26" s="81"/>
    </row>
    <row r="27" spans="1:98" s="446" customFormat="1" ht="11.1" customHeight="1" x14ac:dyDescent="0.2">
      <c r="A27" s="294"/>
      <c r="B27" s="294"/>
      <c r="C27" s="292" t="s">
        <v>474</v>
      </c>
      <c r="D27" s="785" t="s">
        <v>514</v>
      </c>
      <c r="E27" s="785"/>
      <c r="F27" s="785"/>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5"/>
      <c r="AF27" s="785"/>
      <c r="AG27" s="785"/>
      <c r="AH27" s="785"/>
      <c r="AI27" s="785"/>
      <c r="AJ27" s="785"/>
      <c r="AK27" s="785"/>
      <c r="AL27" s="785"/>
      <c r="AM27" s="785"/>
      <c r="AN27" s="785"/>
      <c r="AO27" s="785"/>
      <c r="AP27" s="785"/>
      <c r="AQ27" s="785"/>
      <c r="AR27" s="785"/>
      <c r="AS27" s="785"/>
      <c r="AT27" s="785"/>
      <c r="AU27" s="785"/>
      <c r="AV27" s="785"/>
      <c r="AW27" s="785"/>
      <c r="AX27" s="785"/>
      <c r="AY27" s="465"/>
      <c r="AZ27" s="312">
        <v>15</v>
      </c>
      <c r="BA27" s="466" t="s">
        <v>424</v>
      </c>
      <c r="BB27" s="81" t="s">
        <v>199</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0</v>
      </c>
      <c r="BR27" s="81"/>
      <c r="BS27" s="81">
        <f>V8-V9</f>
        <v>0</v>
      </c>
      <c r="BT27" s="81"/>
      <c r="BU27" s="81">
        <f>X8-X9</f>
        <v>0</v>
      </c>
      <c r="BV27" s="81"/>
      <c r="BW27" s="81">
        <f>Z8-Z9</f>
        <v>0</v>
      </c>
      <c r="BX27" s="81"/>
      <c r="BY27" s="81">
        <f>AB8-AB9</f>
        <v>0</v>
      </c>
      <c r="BZ27" s="81"/>
      <c r="CA27" s="81">
        <f>AD8-AD9</f>
        <v>0</v>
      </c>
      <c r="CB27" s="81"/>
      <c r="CC27" s="81">
        <f>AF8-AF9</f>
        <v>0</v>
      </c>
      <c r="CD27" s="81"/>
      <c r="CE27" s="81">
        <f>AH8-AH9</f>
        <v>0</v>
      </c>
      <c r="CF27" s="81"/>
      <c r="CG27" s="81">
        <f>AJ8-AJ9</f>
        <v>0</v>
      </c>
      <c r="CH27" s="81"/>
      <c r="CI27" s="81">
        <f>AL8-AL9</f>
        <v>0</v>
      </c>
      <c r="CJ27" s="81"/>
      <c r="CK27" s="81">
        <f>AN8-AN9</f>
        <v>0</v>
      </c>
      <c r="CL27" s="81"/>
      <c r="CM27" s="81">
        <f>AP8-AP9</f>
        <v>0</v>
      </c>
      <c r="CN27" s="81"/>
      <c r="CO27" s="81">
        <f>AR8-AR9</f>
        <v>0</v>
      </c>
      <c r="CP27" s="81"/>
      <c r="CQ27" s="81">
        <f>AT8-AT9</f>
        <v>0</v>
      </c>
      <c r="CR27" s="81"/>
      <c r="CS27" s="81">
        <f>AV8-AV9</f>
        <v>0</v>
      </c>
      <c r="CT27" s="81"/>
    </row>
    <row r="28" spans="1:98" s="446" customFormat="1" ht="14.25" customHeight="1" x14ac:dyDescent="0.2">
      <c r="A28" s="294"/>
      <c r="B28" s="294"/>
      <c r="C28" s="292" t="s">
        <v>474</v>
      </c>
      <c r="D28" s="783" t="s">
        <v>61</v>
      </c>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293"/>
      <c r="AW28" s="293"/>
      <c r="AX28" s="293"/>
      <c r="AY28" s="465"/>
      <c r="AZ28" s="300" t="s">
        <v>136</v>
      </c>
      <c r="BA28" s="296" t="s">
        <v>582</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N/A</v>
      </c>
      <c r="BT28" s="81"/>
      <c r="BU28" s="81" t="str">
        <f>IF(OR(ISBLANK(X8),ISBLANK(X9),ISBLANK(X10)),"N/A",IF((BU26=BU27),"ok","&lt;&gt;"))</f>
        <v>N/A</v>
      </c>
      <c r="BV28" s="81"/>
      <c r="BW28" s="81" t="str">
        <f>IF(OR(ISBLANK(Z8),ISBLANK(Z9),ISBLANK(Z10)),"N/A",IF((BW26=BW27),"ok","&lt;&gt;"))</f>
        <v>N/A</v>
      </c>
      <c r="BX28" s="81"/>
      <c r="BY28" s="81" t="str">
        <f>IF(OR(ISBLANK(AB8),ISBLANK(AB9),ISBLANK(AB10)),"N/A",IF((BY26=BY27),"ok","&lt;&gt;"))</f>
        <v>N/A</v>
      </c>
      <c r="BZ28" s="81"/>
      <c r="CA28" s="81" t="str">
        <f>IF(OR(ISBLANK(AD8),ISBLANK(AD9),ISBLANK(AD10)),"N/A",IF((CA26=CA27),"ok","&lt;&gt;"))</f>
        <v>N/A</v>
      </c>
      <c r="CB28" s="81"/>
      <c r="CC28" s="81" t="str">
        <f>IF(OR(ISBLANK(AF8),ISBLANK(AF9),ISBLANK(AF10)),"N/A",IF((CC26=CC27),"ok","&lt;&gt;"))</f>
        <v>N/A</v>
      </c>
      <c r="CD28" s="81"/>
      <c r="CE28" s="81" t="str">
        <f>IF(OR(ISBLANK(AH8),ISBLANK(AH9),ISBLANK(AH10)),"N/A",IF((CE26=CE27),"ok","&lt;&gt;"))</f>
        <v>N/A</v>
      </c>
      <c r="CF28" s="81"/>
      <c r="CG28" s="81" t="str">
        <f>IF(OR(ISBLANK(AJ8),ISBLANK(AJ9),ISBLANK(AJ10)),"N/A",IF((CG26=CG27),"ok","&lt;&gt;"))</f>
        <v>N/A</v>
      </c>
      <c r="CH28" s="81"/>
      <c r="CI28" s="81" t="str">
        <f>IF(OR(ISBLANK(AL8),ISBLANK(AL9),ISBLANK(AL10)),"N/A",IF((CI26=CI27),"ok","&lt;&gt;"))</f>
        <v>N/A</v>
      </c>
      <c r="CJ28" s="81"/>
      <c r="CK28" s="81" t="str">
        <f>IF(OR(ISBLANK(AN8),ISBLANK(AN9),ISBLANK(AN10)),"N/A",IF((CK26=CK27),"ok","&lt;&gt;"))</f>
        <v>N/A</v>
      </c>
      <c r="CL28" s="81"/>
      <c r="CM28" s="81" t="str">
        <f>IF(OR(ISBLANK(AP8),ISBLANK(AP9),ISBLANK(AP10)),"N/A",IF((CM26=CM27),"ok","&lt;&gt;"))</f>
        <v>N/A</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row>
    <row r="29" spans="1:98" s="446" customFormat="1" ht="21.6" customHeight="1" x14ac:dyDescent="0.2">
      <c r="A29" s="294"/>
      <c r="B29" s="294"/>
      <c r="C29" s="292" t="s">
        <v>474</v>
      </c>
      <c r="D29" s="783" t="s">
        <v>118</v>
      </c>
      <c r="E29" s="783"/>
      <c r="F29" s="783"/>
      <c r="G29" s="783"/>
      <c r="H29" s="783"/>
      <c r="I29" s="783"/>
      <c r="J29" s="783"/>
      <c r="K29" s="783"/>
      <c r="L29" s="783"/>
      <c r="M29" s="783"/>
      <c r="N29" s="783"/>
      <c r="O29" s="783"/>
      <c r="P29" s="783"/>
      <c r="Q29" s="783"/>
      <c r="R29" s="783"/>
      <c r="S29" s="783"/>
      <c r="T29" s="783"/>
      <c r="U29" s="783"/>
      <c r="V29" s="783"/>
      <c r="W29" s="783"/>
      <c r="X29" s="783"/>
      <c r="Y29" s="783"/>
      <c r="Z29" s="783"/>
      <c r="AA29" s="783"/>
      <c r="AB29" s="783"/>
      <c r="AC29" s="783"/>
      <c r="AD29" s="783"/>
      <c r="AE29" s="783"/>
      <c r="AF29" s="783"/>
      <c r="AG29" s="783"/>
      <c r="AH29" s="783"/>
      <c r="AI29" s="783"/>
      <c r="AJ29" s="783"/>
      <c r="AK29" s="783"/>
      <c r="AL29" s="783"/>
      <c r="AM29" s="783"/>
      <c r="AN29" s="783"/>
      <c r="AO29" s="783"/>
      <c r="AP29" s="783"/>
      <c r="AQ29" s="783"/>
      <c r="AR29" s="783"/>
      <c r="AS29" s="783"/>
      <c r="AT29" s="783"/>
      <c r="AU29" s="783"/>
      <c r="AV29" s="783"/>
      <c r="AW29" s="783"/>
      <c r="AX29" s="783"/>
      <c r="AY29" s="465"/>
      <c r="AZ29" s="312">
        <v>16</v>
      </c>
      <c r="BA29" s="296" t="s">
        <v>583</v>
      </c>
      <c r="BB29" s="81" t="s">
        <v>199</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0</v>
      </c>
      <c r="BT29" s="81"/>
      <c r="BU29" s="81">
        <f>SUM(X12:X16)+SUM(X18:X19)</f>
        <v>0</v>
      </c>
      <c r="BV29" s="81"/>
      <c r="BW29" s="81">
        <f>SUM(Z12:Z16)+SUM(Z18:Z19)</f>
        <v>0</v>
      </c>
      <c r="BX29" s="81"/>
      <c r="BY29" s="81">
        <f>SUM(AB12:AB16)+SUM(AB18:AB19)</f>
        <v>0</v>
      </c>
      <c r="BZ29" s="81"/>
      <c r="CA29" s="81">
        <f>SUM(AD12:AD16)+SUM(AD18:AD19)</f>
        <v>0</v>
      </c>
      <c r="CB29" s="81"/>
      <c r="CC29" s="81">
        <f>SUM(AF12:AF16)+SUM(AF18:AF19)</f>
        <v>0</v>
      </c>
      <c r="CD29" s="81"/>
      <c r="CE29" s="81">
        <f>SUM(AH12:AH16)+SUM(AH18:AH19)</f>
        <v>0</v>
      </c>
      <c r="CF29" s="81"/>
      <c r="CG29" s="81">
        <f>SUM(AJ12:AJ16)+SUM(AJ18:AJ19)</f>
        <v>0</v>
      </c>
      <c r="CH29" s="81"/>
      <c r="CI29" s="81">
        <f>SUM(AL12:AL16)+SUM(AL18:AL19)</f>
        <v>0</v>
      </c>
      <c r="CJ29" s="81"/>
      <c r="CK29" s="81">
        <f>SUM(AN12:AN16)+SUM(AN18:AN19)</f>
        <v>0</v>
      </c>
      <c r="CL29" s="81"/>
      <c r="CM29" s="81">
        <f>SUM(AP12:AP16)+SUM(AP18:AP19)</f>
        <v>0</v>
      </c>
      <c r="CN29" s="81"/>
      <c r="CO29" s="81">
        <f>SUM(AR12:AR16)+SUM(AR18:AR19)</f>
        <v>0</v>
      </c>
      <c r="CP29" s="81"/>
      <c r="CQ29" s="81">
        <f>SUM(AT12:AT16)+SUM(AT18:AT19)</f>
        <v>0</v>
      </c>
      <c r="CR29" s="81"/>
      <c r="CS29" s="81">
        <f>SUM(AV12:AV16)+SUM(AV18:AV19)</f>
        <v>0</v>
      </c>
      <c r="CT29" s="81"/>
    </row>
    <row r="30" spans="1:98" s="446" customFormat="1" ht="9.6" customHeight="1" x14ac:dyDescent="0.2">
      <c r="A30" s="294"/>
      <c r="B30" s="294"/>
      <c r="C30" s="292"/>
      <c r="D30" s="786"/>
      <c r="E30" s="785"/>
      <c r="F30" s="785"/>
      <c r="G30" s="785"/>
      <c r="H30" s="785"/>
      <c r="I30" s="785"/>
      <c r="J30" s="785"/>
      <c r="K30" s="785"/>
      <c r="L30" s="785"/>
      <c r="M30" s="785"/>
      <c r="N30" s="785"/>
      <c r="O30" s="785"/>
      <c r="P30" s="785"/>
      <c r="Q30" s="785"/>
      <c r="R30" s="785"/>
      <c r="S30" s="785"/>
      <c r="T30" s="785"/>
      <c r="U30" s="785"/>
      <c r="V30" s="785"/>
      <c r="W30" s="785"/>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5"/>
      <c r="AT30" s="785"/>
      <c r="AU30" s="785"/>
      <c r="AV30" s="785"/>
      <c r="AW30" s="785"/>
      <c r="AX30" s="785"/>
      <c r="AY30" s="465"/>
      <c r="AZ30" s="300" t="s">
        <v>136</v>
      </c>
      <c r="BA30" s="296" t="s">
        <v>584</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row>
    <row r="31" spans="1:98" ht="21" customHeight="1" x14ac:dyDescent="0.2">
      <c r="A31" s="294"/>
      <c r="B31" s="294"/>
      <c r="C31" s="292"/>
      <c r="D31" s="303"/>
      <c r="E31" s="303"/>
      <c r="F31" s="303"/>
      <c r="G31" s="303"/>
      <c r="H31" s="303"/>
      <c r="I31" s="303"/>
      <c r="J31" s="303"/>
      <c r="K31" s="303"/>
      <c r="L31" s="303"/>
      <c r="M31" s="303"/>
      <c r="N31" s="303"/>
      <c r="O31" s="303"/>
      <c r="P31" s="853" t="s">
        <v>125</v>
      </c>
      <c r="Q31" s="854"/>
      <c r="R31" s="855"/>
      <c r="S31" s="303"/>
      <c r="T31" s="303"/>
      <c r="U31" s="847" t="str">
        <f>D12&amp;" (W3,4)"</f>
        <v>Hogares (W3,4)</v>
      </c>
      <c r="V31" s="848"/>
      <c r="W31" s="848"/>
      <c r="X31" s="848"/>
      <c r="Y31" s="848"/>
      <c r="Z31" s="848"/>
      <c r="AA31" s="848"/>
      <c r="AB31" s="849"/>
      <c r="AC31" s="303"/>
      <c r="AD31" s="303"/>
      <c r="AE31" s="303"/>
      <c r="AF31" s="303"/>
      <c r="AG31" s="303"/>
      <c r="AH31" s="303"/>
      <c r="AI31" s="303"/>
      <c r="AJ31" s="303"/>
      <c r="AK31" s="303"/>
      <c r="AL31" s="304"/>
      <c r="AM31" s="304"/>
      <c r="AN31" s="304"/>
      <c r="AO31" s="304"/>
      <c r="AP31" s="304"/>
      <c r="AQ31" s="304"/>
      <c r="AR31" s="304"/>
      <c r="AS31" s="304"/>
      <c r="AT31" s="304"/>
      <c r="AU31" s="304"/>
      <c r="AV31" s="304"/>
      <c r="AW31" s="304"/>
      <c r="AX31" s="303"/>
      <c r="AY31" s="465"/>
      <c r="AZ31" s="329" t="s">
        <v>136</v>
      </c>
      <c r="BA31" s="330" t="s">
        <v>585</v>
      </c>
      <c r="BB31" s="96"/>
      <c r="BC31" s="96" t="str">
        <f>IF(OR(ISBLANK(F21),ISBLANK(F22),ISBLANK(F23)),"N/A",IF(F21&lt;F23,"&lt;&gt;",IF(F21&gt;F22,"&lt;&gt;","ok")))</f>
        <v>N/A</v>
      </c>
      <c r="BD31" s="96"/>
      <c r="BE31" s="96" t="str">
        <f>IF(OR(ISBLANK(H21),ISBLANK(H22),ISBLANK(H23)),"N/A",IF(H21&lt;H23,"&lt;&gt;",IF(H21&gt;H22,"&lt;&gt;","ok")))</f>
        <v>N/A</v>
      </c>
      <c r="BF31" s="96"/>
      <c r="BG31" s="96" t="str">
        <f>IF(OR(ISBLANK(J21),ISBLANK(J22),ISBLANK(J23)),"N/A",IF(J21&lt;J23,"&lt;&gt;",IF(J21&gt;J22,"&lt;&gt;","ok")))</f>
        <v>N/A</v>
      </c>
      <c r="BH31" s="96"/>
      <c r="BI31" s="96" t="str">
        <f>IF(OR(ISBLANK(L21),ISBLANK(L22),ISBLANK(L23)),"N/A",IF(L21&lt;L23,"&lt;&gt;",IF(L21&gt;L22,"&lt;&gt;","ok")))</f>
        <v>N/A</v>
      </c>
      <c r="BJ31" s="96"/>
      <c r="BK31" s="96" t="str">
        <f>IF(OR(ISBLANK(N21),ISBLANK(N22),ISBLANK(N23)),"N/A",IF(N21&lt;N23,"&lt;&gt;",IF(N21&gt;N22,"&lt;&gt;","ok")))</f>
        <v>N/A</v>
      </c>
      <c r="BL31" s="96"/>
      <c r="BM31" s="96" t="str">
        <f>IF(OR(ISBLANK(P21),ISBLANK(P22),ISBLANK(P23)),"N/A",IF(P21&lt;P23,"&lt;&gt;",IF(P21&gt;P22,"&lt;&gt;","ok")))</f>
        <v>N/A</v>
      </c>
      <c r="BN31" s="96"/>
      <c r="BO31" s="96" t="str">
        <f>IF(OR(ISBLANK(R21),ISBLANK(R22),ISBLANK(R23)),"N/A",IF(R21&lt;R23,"&lt;&gt;",IF(R21&gt;R22,"&lt;&gt;","ok")))</f>
        <v>N/A</v>
      </c>
      <c r="BP31" s="96"/>
      <c r="BQ31" s="96" t="str">
        <f>IF(OR(ISBLANK(T21),ISBLANK(T22),ISBLANK(T23)),"N/A",IF(T21&lt;T23,"&lt;&gt;",IF(T21&gt;T22,"&lt;&gt;","ok")))</f>
        <v>N/A</v>
      </c>
      <c r="BR31" s="96"/>
      <c r="BS31" s="96" t="str">
        <f>IF(OR(ISBLANK(V21),ISBLANK(V22),ISBLANK(V23)),"N/A",IF(V21&lt;V23,"&lt;&gt;",IF(V21&gt;V22,"&lt;&gt;","ok")))</f>
        <v>N/A</v>
      </c>
      <c r="BT31" s="96"/>
      <c r="BU31" s="96" t="str">
        <f>IF(OR(ISBLANK(X21),ISBLANK(X22),ISBLANK(X23)),"N/A",IF(X21&lt;X23,"&lt;&gt;",IF(X21&gt;X22,"&lt;&gt;","ok")))</f>
        <v>N/A</v>
      </c>
      <c r="BV31" s="96"/>
      <c r="BW31" s="96" t="str">
        <f>IF(OR(ISBLANK(Z21),ISBLANK(Z22),ISBLANK(Z23)),"N/A",IF(Z21&lt;Z23,"&lt;&gt;",IF(Z21&gt;Z22,"&lt;&gt;","ok")))</f>
        <v>N/A</v>
      </c>
      <c r="BX31" s="96"/>
      <c r="BY31" s="96" t="str">
        <f>IF(OR(ISBLANK(AB21),ISBLANK(AB22),ISBLANK(AB23)),"N/A",IF(AB21&lt;AB23,"&lt;&gt;",IF(AB21&gt;AB22,"&lt;&gt;","ok")))</f>
        <v>N/A</v>
      </c>
      <c r="BZ31" s="96"/>
      <c r="CA31" s="96" t="str">
        <f>IF(OR(ISBLANK(AD21),ISBLANK(AD22),ISBLANK(AD23)),"N/A",IF(AD21&lt;AD23,"&lt;&gt;",IF(AD21&gt;AD22,"&lt;&gt;","ok")))</f>
        <v>N/A</v>
      </c>
      <c r="CB31" s="96"/>
      <c r="CC31" s="96" t="str">
        <f>IF(OR(ISBLANK(AF21),ISBLANK(AF22),ISBLANK(AF23)),"N/A",IF(AF21&lt;AF23,"&lt;&gt;",IF(AF21&gt;AF22,"&lt;&gt;","ok")))</f>
        <v>N/A</v>
      </c>
      <c r="CD31" s="96"/>
      <c r="CE31" s="96" t="str">
        <f>IF(OR(ISBLANK(AH21),ISBLANK(AH22),ISBLANK(AH23)),"N/A",IF(AH21&lt;AH23,"&lt;&gt;",IF(AH21&gt;AH22,"&lt;&gt;","ok")))</f>
        <v>N/A</v>
      </c>
      <c r="CF31" s="96"/>
      <c r="CG31" s="96" t="str">
        <f>IF(OR(ISBLANK(AJ21),ISBLANK(AJ22),ISBLANK(AJ23)),"N/A",IF(AJ21&lt;AJ23,"&lt;&gt;",IF(AJ21&gt;AJ22,"&lt;&gt;","ok")))</f>
        <v>N/A</v>
      </c>
      <c r="CH31" s="96"/>
      <c r="CI31" s="96" t="str">
        <f>IF(OR(ISBLANK(AL21),ISBLANK(AL22),ISBLANK(AL23)),"N/A",IF(AL21&lt;AL23,"&lt;&gt;",IF(AL21&gt;AL22,"&lt;&gt;","ok")))</f>
        <v>N/A</v>
      </c>
      <c r="CJ31" s="96"/>
      <c r="CK31" s="96" t="str">
        <f>IF(OR(ISBLANK(AN21),ISBLANK(AN22),ISBLANK(AN23)),"N/A",IF(AN21&lt;AN23,"&lt;&gt;",IF(AN21&gt;AN22,"&lt;&gt;","ok")))</f>
        <v>N/A</v>
      </c>
      <c r="CL31" s="96"/>
      <c r="CM31" s="96" t="str">
        <f>IF(OR(ISBLANK(AP21),ISBLANK(AP22),ISBLANK(AP23)),"N/A",IF(AP21&lt;AP23,"&lt;&gt;",IF(AP21&gt;AP22,"&lt;&gt;","ok")))</f>
        <v>N/A</v>
      </c>
      <c r="CN31" s="96"/>
      <c r="CO31" s="96" t="str">
        <f>IF(OR(ISBLANK(AR21),ISBLANK(AR22),ISBLANK(AR23)),"N/A",IF(AR21&lt;AR23,"&lt;&gt;",IF(AR21&gt;AR22,"&lt;&gt;","ok")))</f>
        <v>N/A</v>
      </c>
      <c r="CP31" s="96"/>
      <c r="CQ31" s="96" t="str">
        <f>IF(OR(ISBLANK(AT21),ISBLANK(AT22),ISBLANK(AT23)),"N/A",IF(AT21&lt;AT23,"&lt;&gt;",IF(AT21&gt;AT22,"&lt;&gt;","ok")))</f>
        <v>N/A</v>
      </c>
      <c r="CR31" s="96"/>
      <c r="CS31" s="96" t="str">
        <f>IF(OR(ISBLANK(AV21),ISBLANK(AV22),ISBLANK(AV23)),"N/A",IF(AV21&lt;AV23,"&lt;&gt;",IF(AV21&gt;AV22,"&lt;&gt;","ok")))</f>
        <v>N/A</v>
      </c>
      <c r="CT31" s="81"/>
    </row>
    <row r="32" spans="1:98" ht="10.35" customHeight="1" x14ac:dyDescent="0.2">
      <c r="A32" s="294"/>
      <c r="B32" s="294"/>
      <c r="C32" s="292"/>
      <c r="D32" s="303"/>
      <c r="E32" s="303"/>
      <c r="F32" s="303"/>
      <c r="G32" s="303"/>
      <c r="H32" s="303"/>
      <c r="I32" s="303"/>
      <c r="J32" s="303"/>
      <c r="K32" s="850" t="str">
        <f>LEFT(D10,LEN(D10)-25)&amp;" (W3,3)"</f>
        <v>Cantidad neta de agua dulce provista por la industria del suministro de agua (CIIU 36)   (W3,3)</v>
      </c>
      <c r="L32" s="857"/>
      <c r="M32" s="857"/>
      <c r="N32" s="858"/>
      <c r="O32" s="303"/>
      <c r="P32" s="854"/>
      <c r="Q32" s="854"/>
      <c r="R32" s="855"/>
      <c r="S32" s="303"/>
      <c r="T32" s="303"/>
      <c r="U32" s="303"/>
      <c r="V32" s="303"/>
      <c r="W32" s="303"/>
      <c r="X32" s="303"/>
      <c r="Y32" s="303"/>
      <c r="Z32" s="303"/>
      <c r="AA32" s="303"/>
      <c r="AB32" s="303"/>
      <c r="AC32" s="303"/>
      <c r="AD32" s="303"/>
      <c r="AE32" s="303"/>
      <c r="AF32" s="303"/>
      <c r="AG32" s="303"/>
      <c r="AH32" s="303"/>
      <c r="AI32" s="303"/>
      <c r="AJ32" s="303"/>
      <c r="AK32" s="303"/>
      <c r="AL32" s="531"/>
      <c r="AM32" s="531"/>
      <c r="AN32" s="531"/>
      <c r="AO32" s="531"/>
      <c r="AP32" s="531"/>
      <c r="AQ32" s="531"/>
      <c r="AR32" s="531"/>
      <c r="AS32" s="531"/>
      <c r="AT32" s="531"/>
      <c r="AU32" s="531"/>
      <c r="AV32" s="531"/>
      <c r="AW32" s="531"/>
      <c r="AX32" s="303"/>
      <c r="AY32" s="468"/>
      <c r="AZ32" s="81"/>
      <c r="BA32" s="469"/>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6"/>
    </row>
    <row r="33" spans="1:98" ht="33.75" customHeight="1" x14ac:dyDescent="0.2">
      <c r="A33" s="294"/>
      <c r="B33" s="294"/>
      <c r="C33" s="292"/>
      <c r="D33" s="865" t="str">
        <f>D8&amp;" (W3, 1)"</f>
        <v>Cantidad bruta de agua dulce provista por la industria del suministro de agua (CIIU 36) (W3, 1)</v>
      </c>
      <c r="E33" s="304"/>
      <c r="F33" s="605"/>
      <c r="G33" s="605"/>
      <c r="H33" s="605"/>
      <c r="I33" s="605"/>
      <c r="J33" s="605"/>
      <c r="K33" s="859"/>
      <c r="L33" s="860"/>
      <c r="M33" s="860"/>
      <c r="N33" s="861"/>
      <c r="O33" s="605"/>
      <c r="P33" s="854"/>
      <c r="Q33" s="854"/>
      <c r="R33" s="855"/>
      <c r="S33" s="605"/>
      <c r="T33" s="605"/>
      <c r="U33" s="847" t="str">
        <f>D13&amp;" (W3,5)"</f>
        <v>Agricultura, ganadería, silvicultura y pesca (CIIU 01-03) (W3,5)</v>
      </c>
      <c r="V33" s="848"/>
      <c r="W33" s="848"/>
      <c r="X33" s="848"/>
      <c r="Y33" s="848"/>
      <c r="Z33" s="848"/>
      <c r="AA33" s="848"/>
      <c r="AB33" s="849"/>
      <c r="AC33" s="304"/>
      <c r="AD33" s="304"/>
      <c r="AE33" s="594"/>
      <c r="AF33" s="594"/>
      <c r="AG33" s="606"/>
      <c r="AI33" s="470"/>
      <c r="AJ33" s="303"/>
      <c r="AK33" s="303"/>
      <c r="AL33" s="304"/>
      <c r="AM33" s="304"/>
      <c r="AN33" s="304"/>
      <c r="AO33" s="304"/>
      <c r="AP33" s="304"/>
      <c r="AQ33" s="304"/>
      <c r="AR33" s="304"/>
      <c r="AS33" s="304"/>
      <c r="AT33" s="304"/>
      <c r="AU33" s="304"/>
      <c r="AV33" s="304"/>
      <c r="AW33" s="304"/>
      <c r="AX33" s="303"/>
      <c r="AY33" s="468"/>
      <c r="AZ33" s="331"/>
      <c r="BA33" s="332"/>
      <c r="CT33" s="81"/>
    </row>
    <row r="34" spans="1:98" ht="13.35" customHeight="1" x14ac:dyDescent="0.2">
      <c r="A34" s="294"/>
      <c r="B34" s="294"/>
      <c r="C34" s="292"/>
      <c r="D34" s="866"/>
      <c r="E34" s="605"/>
      <c r="F34" s="605"/>
      <c r="G34" s="605"/>
      <c r="H34" s="605"/>
      <c r="I34" s="605"/>
      <c r="J34" s="605"/>
      <c r="K34" s="859"/>
      <c r="L34" s="860"/>
      <c r="M34" s="860"/>
      <c r="N34" s="861"/>
      <c r="O34" s="605"/>
      <c r="P34" s="605"/>
      <c r="Q34" s="605"/>
      <c r="R34" s="605"/>
      <c r="S34" s="605"/>
      <c r="T34" s="605"/>
      <c r="U34" s="605"/>
      <c r="V34" s="605"/>
      <c r="W34" s="605"/>
      <c r="X34" s="605"/>
      <c r="Y34" s="605"/>
      <c r="Z34" s="605"/>
      <c r="AA34" s="306"/>
      <c r="AB34" s="305"/>
      <c r="AC34" s="304"/>
      <c r="AD34" s="594"/>
      <c r="AE34" s="594"/>
      <c r="AF34" s="594"/>
      <c r="AG34" s="606"/>
      <c r="AH34" s="470"/>
      <c r="AI34" s="470"/>
      <c r="AJ34" s="303"/>
      <c r="AK34" s="303"/>
      <c r="AL34" s="531"/>
      <c r="AM34" s="531"/>
      <c r="AN34" s="531"/>
      <c r="AO34" s="531"/>
      <c r="AP34" s="531"/>
      <c r="AQ34" s="531"/>
      <c r="AR34" s="531"/>
      <c r="AS34" s="531"/>
      <c r="AT34" s="531"/>
      <c r="AU34" s="531"/>
      <c r="AV34" s="531"/>
      <c r="AW34" s="531"/>
      <c r="AX34" s="303"/>
      <c r="AY34" s="468"/>
      <c r="BB34" s="97"/>
      <c r="BC34" s="97"/>
      <c r="BD34" s="97"/>
      <c r="BE34" s="111"/>
      <c r="BF34" s="111"/>
      <c r="BG34" s="111"/>
      <c r="BH34" s="111"/>
      <c r="BI34" s="111"/>
      <c r="BJ34" s="111"/>
      <c r="BK34" s="111"/>
      <c r="BL34" s="111"/>
      <c r="BM34" s="111"/>
      <c r="BN34" s="111"/>
      <c r="BO34" s="111"/>
      <c r="BP34" s="111"/>
      <c r="BQ34" s="111"/>
      <c r="BR34" s="111"/>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row>
    <row r="35" spans="1:98" ht="27" customHeight="1" x14ac:dyDescent="0.2">
      <c r="A35" s="294"/>
      <c r="B35" s="294"/>
      <c r="C35" s="292"/>
      <c r="D35" s="866"/>
      <c r="E35" s="605"/>
      <c r="F35" s="605"/>
      <c r="G35" s="605"/>
      <c r="H35" s="605"/>
      <c r="I35" s="605"/>
      <c r="J35" s="605"/>
      <c r="K35" s="859"/>
      <c r="L35" s="860"/>
      <c r="M35" s="860"/>
      <c r="N35" s="861"/>
      <c r="O35" s="605"/>
      <c r="P35" s="605"/>
      <c r="Q35" s="605"/>
      <c r="R35" s="605"/>
      <c r="S35" s="605"/>
      <c r="T35" s="605"/>
      <c r="U35" s="847" t="str">
        <f>D14&amp;" (W3,6)"</f>
        <v>Explotación de minas y canteras (CIIU 05-09) (W3,6)</v>
      </c>
      <c r="V35" s="848"/>
      <c r="W35" s="848"/>
      <c r="X35" s="848"/>
      <c r="Y35" s="848"/>
      <c r="Z35" s="848"/>
      <c r="AA35" s="848"/>
      <c r="AB35" s="849"/>
      <c r="AC35" s="304"/>
      <c r="AD35" s="594"/>
      <c r="AE35" s="594"/>
      <c r="AF35" s="594"/>
      <c r="AG35" s="308"/>
      <c r="AH35" s="303"/>
      <c r="AI35" s="303"/>
      <c r="AJ35" s="303"/>
      <c r="AK35" s="303"/>
      <c r="AL35" s="304"/>
      <c r="AM35" s="304"/>
      <c r="AN35" s="304"/>
      <c r="AO35" s="304"/>
      <c r="AP35" s="304"/>
      <c r="AQ35" s="304"/>
      <c r="AR35" s="304"/>
      <c r="AS35" s="304"/>
      <c r="AT35" s="304"/>
      <c r="AU35" s="304"/>
      <c r="AV35" s="304"/>
      <c r="AW35" s="304"/>
      <c r="AX35" s="303"/>
      <c r="AY35" s="468"/>
      <c r="AZ35" s="331" t="s">
        <v>440</v>
      </c>
      <c r="BA35" s="332" t="s">
        <v>441</v>
      </c>
      <c r="BB35" s="439"/>
      <c r="BC35" s="439"/>
      <c r="BD35" s="439"/>
      <c r="BE35" s="439"/>
      <c r="BF35" s="439"/>
      <c r="BG35" s="439"/>
      <c r="BH35" s="439"/>
      <c r="BI35" s="439"/>
      <c r="BJ35" s="439"/>
      <c r="BK35" s="439"/>
      <c r="BL35" s="439"/>
      <c r="BM35" s="439"/>
      <c r="BN35" s="439"/>
      <c r="BO35" s="439"/>
      <c r="BP35" s="439"/>
      <c r="BQ35" s="439"/>
      <c r="BR35" s="439"/>
      <c r="BS35" s="439"/>
      <c r="BT35" s="439"/>
      <c r="BU35" s="439"/>
      <c r="BV35" s="439"/>
      <c r="BW35" s="439"/>
      <c r="BX35" s="439"/>
      <c r="BY35" s="439"/>
      <c r="BZ35" s="439"/>
      <c r="CA35" s="439"/>
      <c r="CB35" s="439"/>
      <c r="CC35" s="439"/>
      <c r="CD35" s="439"/>
      <c r="CE35" s="439"/>
      <c r="CF35" s="439"/>
      <c r="CG35" s="439"/>
      <c r="CH35" s="439"/>
      <c r="CI35" s="439"/>
      <c r="CJ35" s="439"/>
      <c r="CK35" s="439"/>
      <c r="CL35" s="439"/>
      <c r="CM35" s="439"/>
      <c r="CN35" s="439"/>
      <c r="CO35" s="439"/>
      <c r="CP35" s="439"/>
      <c r="CQ35" s="439"/>
      <c r="CR35" s="439"/>
      <c r="CS35" s="439"/>
      <c r="CT35" s="97"/>
    </row>
    <row r="36" spans="1:98" ht="9.6" customHeight="1" x14ac:dyDescent="0.2">
      <c r="A36" s="294"/>
      <c r="B36" s="294"/>
      <c r="C36" s="292"/>
      <c r="D36" s="866"/>
      <c r="E36" s="605"/>
      <c r="F36" s="605"/>
      <c r="G36" s="605"/>
      <c r="H36" s="605"/>
      <c r="I36" s="605"/>
      <c r="J36" s="605"/>
      <c r="K36" s="859"/>
      <c r="L36" s="860"/>
      <c r="M36" s="860"/>
      <c r="N36" s="861"/>
      <c r="O36" s="605"/>
      <c r="P36" s="605"/>
      <c r="Q36" s="605"/>
      <c r="R36" s="605"/>
      <c r="S36" s="605"/>
      <c r="T36" s="605"/>
      <c r="U36" s="605"/>
      <c r="V36" s="605"/>
      <c r="W36" s="605"/>
      <c r="X36" s="605"/>
      <c r="Y36" s="605"/>
      <c r="Z36" s="605"/>
      <c r="AA36" s="306"/>
      <c r="AB36" s="305"/>
      <c r="AC36" s="308"/>
      <c r="AD36" s="308"/>
      <c r="AE36" s="308"/>
      <c r="AF36" s="308"/>
      <c r="AG36" s="308"/>
      <c r="AH36" s="303"/>
      <c r="AI36" s="303"/>
      <c r="AJ36" s="303"/>
      <c r="AK36" s="303"/>
      <c r="AL36" s="531"/>
      <c r="AM36" s="531"/>
      <c r="AN36" s="531"/>
      <c r="AO36" s="531"/>
      <c r="AP36" s="531"/>
      <c r="AQ36" s="531"/>
      <c r="AR36" s="531"/>
      <c r="AS36" s="531"/>
      <c r="AT36" s="531"/>
      <c r="AU36" s="531"/>
      <c r="AV36" s="531"/>
      <c r="AW36" s="531"/>
      <c r="AX36" s="303"/>
      <c r="AY36" s="468"/>
      <c r="BB36" s="97"/>
      <c r="BC36" s="97"/>
      <c r="BD36" s="97"/>
      <c r="BE36" s="111"/>
      <c r="BF36" s="111"/>
      <c r="BG36" s="111"/>
      <c r="BH36" s="111"/>
      <c r="BI36" s="111"/>
      <c r="BJ36" s="111"/>
      <c r="BK36" s="111"/>
      <c r="BL36" s="111"/>
      <c r="BM36" s="111"/>
      <c r="BN36" s="111"/>
      <c r="BO36" s="111"/>
      <c r="BP36" s="111"/>
      <c r="BQ36" s="111"/>
      <c r="BR36" s="111"/>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439"/>
    </row>
    <row r="37" spans="1:98" ht="19.350000000000001" customHeight="1" x14ac:dyDescent="0.2">
      <c r="A37" s="294"/>
      <c r="B37" s="294"/>
      <c r="C37" s="292"/>
      <c r="D37" s="867"/>
      <c r="E37" s="605"/>
      <c r="F37" s="605"/>
      <c r="G37" s="605"/>
      <c r="H37" s="605"/>
      <c r="I37" s="605"/>
      <c r="J37" s="605"/>
      <c r="K37" s="862"/>
      <c r="L37" s="863"/>
      <c r="M37" s="863"/>
      <c r="N37" s="864"/>
      <c r="O37" s="605"/>
      <c r="P37" s="605"/>
      <c r="Q37" s="605"/>
      <c r="R37" s="605"/>
      <c r="S37" s="605"/>
      <c r="T37" s="605"/>
      <c r="U37" s="847" t="str">
        <f>D15&amp;" (W3,7)"</f>
        <v>Industrias manufactureras (CIIU 10-33) (W3,7)</v>
      </c>
      <c r="V37" s="848"/>
      <c r="W37" s="848"/>
      <c r="X37" s="848"/>
      <c r="Y37" s="848"/>
      <c r="Z37" s="848"/>
      <c r="AA37" s="848"/>
      <c r="AB37" s="849"/>
      <c r="AC37" s="308"/>
      <c r="AD37" s="308"/>
      <c r="AE37" s="308"/>
      <c r="AF37" s="308"/>
      <c r="AG37" s="308"/>
      <c r="AH37" s="303"/>
      <c r="AI37" s="303"/>
      <c r="AJ37" s="303"/>
      <c r="AK37" s="303"/>
      <c r="AL37" s="304"/>
      <c r="AM37" s="304"/>
      <c r="AN37" s="304"/>
      <c r="AO37" s="304"/>
      <c r="AP37" s="304"/>
      <c r="AQ37" s="304"/>
      <c r="AR37" s="304"/>
      <c r="AS37" s="304"/>
      <c r="AT37" s="304"/>
      <c r="AU37" s="304"/>
      <c r="AV37" s="304"/>
      <c r="AW37" s="304"/>
      <c r="AX37" s="303"/>
      <c r="AY37" s="468"/>
      <c r="AZ37" s="333" t="s">
        <v>443</v>
      </c>
      <c r="BA37" s="332" t="s">
        <v>445</v>
      </c>
      <c r="BB37" s="439"/>
      <c r="BC37" s="439"/>
      <c r="BD37" s="439"/>
      <c r="BE37" s="439"/>
      <c r="BF37" s="439"/>
      <c r="BG37" s="439"/>
      <c r="BH37" s="439"/>
      <c r="BI37" s="439"/>
      <c r="BJ37" s="439"/>
      <c r="BK37" s="439"/>
      <c r="BL37" s="439"/>
      <c r="BM37" s="439"/>
      <c r="BN37" s="439"/>
      <c r="BO37" s="439"/>
      <c r="BP37" s="439"/>
      <c r="BQ37" s="439"/>
      <c r="BR37" s="439"/>
      <c r="BS37" s="439"/>
      <c r="BT37" s="439"/>
      <c r="BU37" s="439"/>
      <c r="BV37" s="439"/>
      <c r="BW37" s="439"/>
      <c r="BX37" s="439"/>
      <c r="BY37" s="439"/>
      <c r="BZ37" s="439"/>
      <c r="CA37" s="439"/>
      <c r="CB37" s="439"/>
      <c r="CC37" s="439"/>
      <c r="CD37" s="439"/>
      <c r="CE37" s="439"/>
      <c r="CF37" s="439"/>
      <c r="CG37" s="439"/>
      <c r="CH37" s="439"/>
      <c r="CI37" s="439"/>
      <c r="CJ37" s="439"/>
      <c r="CK37" s="439"/>
      <c r="CL37" s="439"/>
      <c r="CM37" s="439"/>
      <c r="CN37" s="439"/>
      <c r="CO37" s="439"/>
      <c r="CP37" s="439"/>
      <c r="CQ37" s="439"/>
      <c r="CR37" s="439"/>
      <c r="CS37" s="439"/>
      <c r="CT37" s="97"/>
    </row>
    <row r="38" spans="1:98" ht="11.1" customHeight="1" x14ac:dyDescent="0.2">
      <c r="A38" s="294"/>
      <c r="B38" s="294"/>
      <c r="C38" s="292"/>
      <c r="D38" s="303"/>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605"/>
      <c r="AD38" s="605"/>
      <c r="AE38" s="308"/>
      <c r="AF38" s="308"/>
      <c r="AG38" s="308"/>
      <c r="AH38" s="303"/>
      <c r="AI38" s="303"/>
      <c r="AJ38" s="303"/>
      <c r="AK38" s="303"/>
      <c r="AL38" s="531"/>
      <c r="AM38" s="531"/>
      <c r="AN38" s="531"/>
      <c r="AO38" s="531"/>
      <c r="AP38" s="531"/>
      <c r="AQ38" s="531"/>
      <c r="AR38" s="531"/>
      <c r="AS38" s="531"/>
      <c r="AT38" s="531"/>
      <c r="AU38" s="531"/>
      <c r="AV38" s="531"/>
      <c r="AW38" s="531"/>
      <c r="AX38" s="303"/>
      <c r="AY38" s="468"/>
      <c r="AZ38" s="97"/>
      <c r="BA38" s="471"/>
      <c r="BB38" s="97"/>
      <c r="BC38" s="97"/>
      <c r="BD38" s="97"/>
      <c r="BE38" s="111"/>
      <c r="BF38" s="111"/>
      <c r="BG38" s="111"/>
      <c r="BH38" s="111"/>
      <c r="BI38" s="111"/>
      <c r="BJ38" s="111"/>
      <c r="BK38" s="111"/>
      <c r="BL38" s="111"/>
      <c r="BM38" s="111"/>
      <c r="BN38" s="111"/>
      <c r="BO38" s="111"/>
      <c r="BP38" s="111"/>
      <c r="BQ38" s="111"/>
      <c r="BR38" s="111"/>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439"/>
    </row>
    <row r="39" spans="1:98" ht="19.350000000000001" customHeight="1" x14ac:dyDescent="0.2">
      <c r="A39" s="294"/>
      <c r="B39" s="294"/>
      <c r="C39" s="292"/>
      <c r="D39" s="303"/>
      <c r="E39" s="306"/>
      <c r="F39" s="306"/>
      <c r="G39" s="306"/>
      <c r="H39" s="306"/>
      <c r="I39" s="306"/>
      <c r="J39" s="306"/>
      <c r="K39" s="306"/>
      <c r="L39" s="306"/>
      <c r="M39" s="306"/>
      <c r="N39" s="306"/>
      <c r="O39" s="306"/>
      <c r="P39" s="306"/>
      <c r="Q39" s="306"/>
      <c r="R39" s="306"/>
      <c r="S39" s="306"/>
      <c r="T39" s="306"/>
      <c r="U39" s="847" t="str">
        <f>D16&amp;" (W3,8)"</f>
        <v>Suministro de electricidad, gas, vapor y aire acondicionado (CIIU 35) (W3,8)</v>
      </c>
      <c r="V39" s="848"/>
      <c r="W39" s="848"/>
      <c r="X39" s="848"/>
      <c r="Y39" s="848"/>
      <c r="Z39" s="848"/>
      <c r="AA39" s="848"/>
      <c r="AB39" s="849"/>
      <c r="AC39" s="605"/>
      <c r="AD39" s="605"/>
      <c r="AE39" s="308"/>
      <c r="AF39" s="308"/>
      <c r="AG39" s="308"/>
      <c r="AH39" s="303"/>
      <c r="AI39" s="303"/>
      <c r="AJ39" s="303"/>
      <c r="AK39" s="303"/>
      <c r="AL39" s="531"/>
      <c r="AM39" s="531"/>
      <c r="AN39" s="531"/>
      <c r="AO39" s="531"/>
      <c r="AP39" s="531"/>
      <c r="AQ39" s="531"/>
      <c r="AR39" s="531"/>
      <c r="AS39" s="531"/>
      <c r="AT39" s="531"/>
      <c r="AU39" s="531"/>
      <c r="AV39" s="531"/>
      <c r="AW39" s="531"/>
      <c r="AX39" s="303"/>
      <c r="AY39" s="468"/>
      <c r="AZ39" s="333" t="s">
        <v>442</v>
      </c>
      <c r="BA39" s="332" t="s">
        <v>379</v>
      </c>
      <c r="BB39" s="97"/>
      <c r="BC39" s="97"/>
      <c r="BD39" s="97"/>
      <c r="BE39" s="111"/>
      <c r="BF39" s="111"/>
      <c r="BG39" s="111"/>
      <c r="BH39" s="111"/>
      <c r="BI39" s="111"/>
      <c r="BJ39" s="111"/>
      <c r="BK39" s="111"/>
      <c r="BL39" s="111"/>
      <c r="BM39" s="111"/>
      <c r="BN39" s="111"/>
      <c r="BO39" s="111"/>
      <c r="BP39" s="111"/>
      <c r="BQ39" s="111"/>
      <c r="BR39" s="111"/>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row>
    <row r="40" spans="1:98" ht="12" customHeight="1" x14ac:dyDescent="0.2">
      <c r="A40" s="294"/>
      <c r="B40" s="294"/>
      <c r="C40" s="292"/>
      <c r="D40" s="303"/>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605"/>
      <c r="AD40" s="605"/>
      <c r="AE40" s="308"/>
      <c r="AF40" s="308"/>
      <c r="AG40" s="308"/>
      <c r="AH40" s="303"/>
      <c r="AI40" s="303"/>
      <c r="AJ40" s="303"/>
      <c r="AK40" s="303"/>
      <c r="AL40" s="531"/>
      <c r="AM40" s="531"/>
      <c r="AN40" s="531"/>
      <c r="AO40" s="531"/>
      <c r="AP40" s="531"/>
      <c r="AQ40" s="531"/>
      <c r="AR40" s="531"/>
      <c r="AS40" s="531"/>
      <c r="AT40" s="531"/>
      <c r="AU40" s="531"/>
      <c r="AV40" s="531"/>
      <c r="AW40" s="531"/>
      <c r="AX40" s="303"/>
      <c r="AY40" s="468"/>
      <c r="BB40" s="97"/>
      <c r="BC40" s="97"/>
      <c r="BD40" s="97"/>
      <c r="BE40" s="111"/>
      <c r="BF40" s="111"/>
      <c r="BG40" s="111"/>
      <c r="BH40" s="111"/>
      <c r="BI40" s="111"/>
      <c r="BJ40" s="111"/>
      <c r="BK40" s="111"/>
      <c r="BL40" s="111"/>
      <c r="BM40" s="111"/>
      <c r="BN40" s="111"/>
      <c r="BO40" s="111"/>
      <c r="BP40" s="111"/>
      <c r="BQ40" s="111"/>
      <c r="BR40" s="111"/>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row>
    <row r="41" spans="1:98" ht="19.350000000000001" customHeight="1" x14ac:dyDescent="0.2">
      <c r="A41" s="294"/>
      <c r="B41" s="294"/>
      <c r="C41" s="292"/>
      <c r="D41" s="303"/>
      <c r="E41" s="306"/>
      <c r="F41" s="306"/>
      <c r="G41" s="306"/>
      <c r="H41" s="306"/>
      <c r="I41" s="306"/>
      <c r="J41" s="306"/>
      <c r="K41" s="306"/>
      <c r="L41" s="306"/>
      <c r="M41" s="306"/>
      <c r="N41" s="306"/>
      <c r="O41" s="306"/>
      <c r="P41" s="306"/>
      <c r="Q41" s="306"/>
      <c r="R41" s="306"/>
      <c r="S41" s="306"/>
      <c r="T41" s="306"/>
      <c r="U41" s="847" t="str">
        <f>D18&amp;" (W3,10)"</f>
        <v>Construcción (CIIU 41-43) (W3,10)</v>
      </c>
      <c r="V41" s="848"/>
      <c r="W41" s="848"/>
      <c r="X41" s="848"/>
      <c r="Y41" s="848"/>
      <c r="Z41" s="848"/>
      <c r="AA41" s="848"/>
      <c r="AB41" s="849"/>
      <c r="AC41" s="605"/>
      <c r="AD41" s="605"/>
      <c r="AE41" s="308"/>
      <c r="AF41" s="308"/>
      <c r="AG41" s="308"/>
      <c r="AH41" s="303"/>
      <c r="AI41" s="303"/>
      <c r="AJ41" s="303"/>
      <c r="AK41" s="303"/>
      <c r="AL41" s="531"/>
      <c r="AM41" s="531"/>
      <c r="AN41" s="531"/>
      <c r="AO41" s="531"/>
      <c r="AP41" s="531"/>
      <c r="AQ41" s="531"/>
      <c r="AR41" s="531"/>
      <c r="AS41" s="531"/>
      <c r="AT41" s="531"/>
      <c r="AU41" s="531"/>
      <c r="AV41" s="531"/>
      <c r="AW41" s="531"/>
      <c r="AX41" s="303"/>
      <c r="AY41" s="468"/>
      <c r="AZ41" s="333" t="s">
        <v>443</v>
      </c>
      <c r="BA41" s="332" t="s">
        <v>445</v>
      </c>
      <c r="BB41" s="439"/>
      <c r="BC41" s="439"/>
      <c r="BD41" s="439"/>
      <c r="BE41" s="439"/>
      <c r="BF41" s="439"/>
      <c r="BG41" s="439"/>
      <c r="BH41" s="439"/>
      <c r="BI41" s="439"/>
      <c r="BJ41" s="439"/>
      <c r="BK41" s="439"/>
      <c r="BL41" s="439"/>
      <c r="BM41" s="439"/>
      <c r="BN41" s="439"/>
      <c r="BO41" s="439"/>
      <c r="BP41" s="439"/>
      <c r="BQ41" s="439"/>
      <c r="BR41" s="439"/>
      <c r="BS41" s="439"/>
      <c r="BT41" s="439"/>
      <c r="BU41" s="439"/>
      <c r="BV41" s="439"/>
      <c r="BW41" s="439"/>
      <c r="BX41" s="439"/>
      <c r="BY41" s="439"/>
      <c r="BZ41" s="439"/>
      <c r="CA41" s="439"/>
      <c r="CB41" s="439"/>
      <c r="CC41" s="439"/>
      <c r="CD41" s="439"/>
      <c r="CE41" s="439"/>
      <c r="CF41" s="439"/>
      <c r="CG41" s="439"/>
      <c r="CH41" s="439"/>
      <c r="CI41" s="439"/>
      <c r="CJ41" s="439"/>
      <c r="CK41" s="439"/>
      <c r="CL41" s="439"/>
      <c r="CM41" s="439"/>
      <c r="CN41" s="439"/>
      <c r="CO41" s="439"/>
      <c r="CP41" s="439"/>
      <c r="CQ41" s="439"/>
      <c r="CR41" s="439"/>
      <c r="CS41" s="439"/>
      <c r="CT41" s="97"/>
    </row>
    <row r="42" spans="1:98" ht="11.45" customHeight="1" x14ac:dyDescent="0.2">
      <c r="A42" s="294"/>
      <c r="B42" s="294"/>
      <c r="C42" s="292"/>
      <c r="D42" s="303"/>
      <c r="E42" s="850" t="str">
        <f>D9&amp;" (W3, 2)"</f>
        <v>Pérdidas durante el transporte (CIIU 36) (W3, 2)</v>
      </c>
      <c r="F42" s="851"/>
      <c r="G42" s="851"/>
      <c r="H42" s="852"/>
      <c r="I42" s="306"/>
      <c r="J42" s="306"/>
      <c r="K42" s="306"/>
      <c r="L42" s="306"/>
      <c r="M42" s="306"/>
      <c r="N42" s="306"/>
      <c r="O42" s="306"/>
      <c r="P42" s="306"/>
      <c r="Q42" s="306"/>
      <c r="R42" s="306"/>
      <c r="S42" s="306"/>
      <c r="T42" s="306"/>
      <c r="U42" s="306"/>
      <c r="V42" s="306"/>
      <c r="W42" s="306"/>
      <c r="X42" s="467"/>
      <c r="Y42" s="304"/>
      <c r="Z42" s="304"/>
      <c r="AA42" s="591"/>
      <c r="AB42" s="591"/>
      <c r="AC42" s="605"/>
      <c r="AD42" s="605"/>
      <c r="AE42" s="308"/>
      <c r="AF42" s="308"/>
      <c r="AG42" s="308"/>
      <c r="AH42" s="303"/>
      <c r="AI42" s="303"/>
      <c r="AJ42" s="303"/>
      <c r="AK42" s="303"/>
      <c r="AL42" s="304"/>
      <c r="AM42" s="304"/>
      <c r="AN42" s="304"/>
      <c r="AO42" s="304"/>
      <c r="AP42" s="304"/>
      <c r="AQ42" s="304"/>
      <c r="AR42" s="304"/>
      <c r="AS42" s="304"/>
      <c r="AT42" s="304"/>
      <c r="AU42" s="304"/>
      <c r="AV42" s="304"/>
      <c r="AW42" s="304"/>
      <c r="AX42" s="303"/>
      <c r="AY42" s="468"/>
      <c r="AZ42" s="97"/>
      <c r="BA42" s="471"/>
      <c r="BB42" s="97"/>
      <c r="BC42" s="97"/>
      <c r="BD42" s="97"/>
      <c r="BE42" s="111"/>
      <c r="BF42" s="111"/>
      <c r="BG42" s="111"/>
      <c r="BH42" s="111"/>
      <c r="BI42" s="111"/>
      <c r="BJ42" s="111"/>
      <c r="BK42" s="111"/>
      <c r="BL42" s="111"/>
      <c r="BM42" s="111"/>
      <c r="BN42" s="111"/>
      <c r="BO42" s="111"/>
      <c r="BP42" s="111"/>
      <c r="BQ42" s="111"/>
      <c r="BR42" s="111"/>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439"/>
    </row>
    <row r="43" spans="1:98" s="213" customFormat="1" ht="18" customHeight="1" x14ac:dyDescent="0.2">
      <c r="A43" s="191"/>
      <c r="B43" s="192"/>
      <c r="C43" s="412"/>
      <c r="D43" s="303"/>
      <c r="E43" s="811"/>
      <c r="F43" s="812"/>
      <c r="G43" s="812"/>
      <c r="H43" s="813"/>
      <c r="I43" s="306"/>
      <c r="J43" s="306"/>
      <c r="K43" s="306"/>
      <c r="L43" s="306"/>
      <c r="M43" s="306"/>
      <c r="N43" s="306"/>
      <c r="O43" s="306"/>
      <c r="P43" s="306"/>
      <c r="Q43" s="306"/>
      <c r="R43" s="306"/>
      <c r="S43" s="306"/>
      <c r="T43" s="306"/>
      <c r="U43" s="847" t="str">
        <f>D19&amp;" (W3,11)"</f>
        <v>Otras actividades económicas (W3,11)</v>
      </c>
      <c r="V43" s="848"/>
      <c r="W43" s="848"/>
      <c r="X43" s="848"/>
      <c r="Y43" s="848"/>
      <c r="Z43" s="848"/>
      <c r="AA43" s="848"/>
      <c r="AB43" s="849"/>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68"/>
      <c r="AZ43" s="333" t="s">
        <v>442</v>
      </c>
      <c r="BA43" s="332" t="s">
        <v>379</v>
      </c>
      <c r="BB43" s="97"/>
      <c r="BC43" s="97"/>
      <c r="BD43" s="97"/>
      <c r="BE43" s="111"/>
      <c r="BF43" s="111"/>
      <c r="BG43" s="111"/>
      <c r="BH43" s="111"/>
      <c r="BI43" s="111"/>
      <c r="BJ43" s="111"/>
      <c r="BK43" s="111"/>
      <c r="BL43" s="111"/>
      <c r="BM43" s="111"/>
      <c r="BN43" s="111"/>
      <c r="BO43" s="111"/>
      <c r="BP43" s="111"/>
      <c r="BQ43" s="111"/>
      <c r="BR43" s="111"/>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row>
    <row r="44" spans="1:98" s="438" customFormat="1" ht="15.75" x14ac:dyDescent="0.25">
      <c r="A44" s="437"/>
      <c r="B44" s="426">
        <v>3</v>
      </c>
      <c r="C44" s="318" t="s">
        <v>119</v>
      </c>
      <c r="D44" s="413"/>
      <c r="E44" s="318"/>
      <c r="F44" s="224"/>
      <c r="G44" s="224"/>
      <c r="H44" s="321"/>
      <c r="I44" s="322"/>
      <c r="J44" s="322"/>
      <c r="K44" s="322"/>
      <c r="L44" s="322"/>
      <c r="M44" s="322"/>
      <c r="N44" s="322"/>
      <c r="O44" s="322"/>
      <c r="P44" s="323"/>
      <c r="Q44" s="322"/>
      <c r="R44" s="323"/>
      <c r="S44" s="322"/>
      <c r="T44" s="323"/>
      <c r="U44" s="322"/>
      <c r="V44" s="323"/>
      <c r="W44" s="322"/>
      <c r="X44" s="321"/>
      <c r="Y44" s="322"/>
      <c r="Z44" s="321"/>
      <c r="AA44" s="322"/>
      <c r="AB44" s="321"/>
      <c r="AC44" s="322"/>
      <c r="AD44" s="321"/>
      <c r="AE44" s="322"/>
      <c r="AF44" s="321"/>
      <c r="AG44" s="414"/>
      <c r="AH44" s="321"/>
      <c r="AI44" s="322"/>
      <c r="AJ44" s="323"/>
      <c r="AK44" s="322"/>
      <c r="AL44" s="321"/>
      <c r="AM44" s="322"/>
      <c r="AN44" s="321"/>
      <c r="AO44" s="322"/>
      <c r="AP44" s="322"/>
      <c r="AQ44" s="322"/>
      <c r="AR44" s="322"/>
      <c r="AS44" s="322"/>
      <c r="AT44" s="374"/>
      <c r="AU44" s="373"/>
      <c r="AV44" s="322"/>
      <c r="AW44" s="322"/>
      <c r="AX44" s="444"/>
      <c r="AY44" s="468"/>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97"/>
    </row>
    <row r="45" spans="1:98" ht="7.5" customHeight="1" x14ac:dyDescent="0.25">
      <c r="C45" s="415"/>
      <c r="D45" s="415"/>
      <c r="E45" s="416"/>
      <c r="F45" s="360"/>
      <c r="G45" s="360"/>
      <c r="H45" s="356"/>
      <c r="I45" s="357"/>
      <c r="J45" s="357"/>
      <c r="K45" s="357"/>
      <c r="L45" s="357"/>
      <c r="M45" s="357"/>
      <c r="N45" s="357"/>
      <c r="O45" s="357"/>
      <c r="P45" s="358"/>
      <c r="Q45" s="357"/>
      <c r="R45" s="358"/>
      <c r="S45" s="357"/>
      <c r="T45" s="358"/>
      <c r="U45" s="357"/>
      <c r="V45" s="358"/>
      <c r="W45" s="357"/>
      <c r="X45" s="356"/>
      <c r="Y45" s="357"/>
      <c r="Z45" s="356"/>
      <c r="AA45" s="357"/>
      <c r="AB45" s="356"/>
      <c r="AC45" s="357"/>
      <c r="AD45" s="356"/>
      <c r="AE45" s="357"/>
      <c r="AF45" s="356"/>
      <c r="AG45" s="417"/>
      <c r="AH45" s="356"/>
      <c r="AI45" s="357"/>
      <c r="AJ45" s="358"/>
      <c r="AK45" s="357"/>
      <c r="AL45" s="356"/>
      <c r="AM45" s="359"/>
      <c r="AN45" s="354"/>
      <c r="AO45" s="359"/>
      <c r="AP45" s="359"/>
      <c r="AQ45" s="359"/>
      <c r="AR45" s="359"/>
      <c r="AS45" s="359"/>
      <c r="AV45" s="359"/>
      <c r="AW45" s="359"/>
      <c r="AY45" s="473"/>
      <c r="AZ45" s="474"/>
      <c r="BA45" s="474"/>
    </row>
    <row r="46" spans="1:98" ht="18" customHeight="1" x14ac:dyDescent="0.2">
      <c r="C46" s="476" t="s">
        <v>515</v>
      </c>
      <c r="D46" s="831" t="s">
        <v>516</v>
      </c>
      <c r="E46" s="832"/>
      <c r="F46" s="832"/>
      <c r="G46" s="832"/>
      <c r="H46" s="832"/>
      <c r="I46" s="832"/>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2"/>
      <c r="AL46" s="832"/>
      <c r="AM46" s="832"/>
      <c r="AN46" s="832"/>
      <c r="AO46" s="832"/>
      <c r="AP46" s="832"/>
      <c r="AQ46" s="832"/>
      <c r="AR46" s="832"/>
      <c r="AS46" s="832"/>
      <c r="AT46" s="832"/>
      <c r="AU46" s="832"/>
      <c r="AV46" s="832"/>
      <c r="AW46" s="832"/>
      <c r="AX46" s="833"/>
      <c r="AY46" s="700"/>
      <c r="AZ46" s="475"/>
    </row>
    <row r="47" spans="1:98" ht="18" customHeight="1" x14ac:dyDescent="0.2">
      <c r="C47" s="548"/>
      <c r="D47" s="789"/>
      <c r="E47" s="790"/>
      <c r="F47" s="790"/>
      <c r="G47" s="790"/>
      <c r="H47" s="790"/>
      <c r="I47" s="790"/>
      <c r="J47" s="790"/>
      <c r="K47" s="790"/>
      <c r="L47" s="790"/>
      <c r="M47" s="790"/>
      <c r="N47" s="790"/>
      <c r="O47" s="790"/>
      <c r="P47" s="790"/>
      <c r="Q47" s="790"/>
      <c r="R47" s="790"/>
      <c r="S47" s="790"/>
      <c r="T47" s="790"/>
      <c r="U47" s="790"/>
      <c r="V47" s="790"/>
      <c r="W47" s="790"/>
      <c r="X47" s="790"/>
      <c r="Y47" s="790"/>
      <c r="Z47" s="790"/>
      <c r="AA47" s="790"/>
      <c r="AB47" s="790"/>
      <c r="AC47" s="790"/>
      <c r="AD47" s="790"/>
      <c r="AE47" s="790"/>
      <c r="AF47" s="790"/>
      <c r="AG47" s="790"/>
      <c r="AH47" s="790"/>
      <c r="AI47" s="790"/>
      <c r="AJ47" s="790"/>
      <c r="AK47" s="790"/>
      <c r="AL47" s="790"/>
      <c r="AM47" s="790"/>
      <c r="AN47" s="790"/>
      <c r="AO47" s="790"/>
      <c r="AP47" s="790"/>
      <c r="AQ47" s="790"/>
      <c r="AR47" s="790"/>
      <c r="AS47" s="790"/>
      <c r="AT47" s="790"/>
      <c r="AU47" s="790"/>
      <c r="AV47" s="790"/>
      <c r="AW47" s="790"/>
      <c r="AX47" s="791"/>
      <c r="AZ47" s="475"/>
    </row>
    <row r="48" spans="1:98" ht="18" customHeight="1" x14ac:dyDescent="0.2">
      <c r="C48" s="548"/>
      <c r="D48" s="792"/>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L48" s="793"/>
      <c r="AM48" s="793"/>
      <c r="AN48" s="793"/>
      <c r="AO48" s="793"/>
      <c r="AP48" s="793"/>
      <c r="AQ48" s="793"/>
      <c r="AR48" s="793"/>
      <c r="AS48" s="793"/>
      <c r="AT48" s="793"/>
      <c r="AU48" s="793"/>
      <c r="AV48" s="793"/>
      <c r="AW48" s="793"/>
      <c r="AX48" s="794"/>
      <c r="AY48" s="439"/>
      <c r="AZ48" s="475"/>
    </row>
    <row r="49" spans="3:98" ht="18" customHeight="1" x14ac:dyDescent="0.2">
      <c r="C49" s="548"/>
      <c r="D49" s="792"/>
      <c r="E49" s="793"/>
      <c r="F49" s="793"/>
      <c r="G49" s="793"/>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c r="AY49" s="477"/>
      <c r="AZ49" s="475"/>
    </row>
    <row r="50" spans="3:98" ht="18" customHeight="1" x14ac:dyDescent="0.2">
      <c r="C50" s="548"/>
      <c r="D50" s="792"/>
      <c r="E50" s="793"/>
      <c r="F50" s="793"/>
      <c r="G50" s="793"/>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4"/>
      <c r="AY50" s="477"/>
      <c r="AZ50" s="475"/>
    </row>
    <row r="51" spans="3:98" ht="18" customHeight="1" x14ac:dyDescent="0.2">
      <c r="C51" s="548"/>
      <c r="D51" s="792"/>
      <c r="E51" s="793"/>
      <c r="F51" s="793"/>
      <c r="G51" s="793"/>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c r="AY51" s="477"/>
      <c r="AZ51" s="475"/>
    </row>
    <row r="52" spans="3:98" ht="18" customHeight="1" x14ac:dyDescent="0.2">
      <c r="C52" s="548"/>
      <c r="D52" s="792"/>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4"/>
      <c r="AY52" s="477"/>
      <c r="AZ52" s="475"/>
    </row>
    <row r="53" spans="3:98" ht="18" customHeight="1" x14ac:dyDescent="0.2">
      <c r="C53" s="548"/>
      <c r="D53" s="792"/>
      <c r="E53" s="793"/>
      <c r="F53" s="793"/>
      <c r="G53" s="793"/>
      <c r="H53" s="793"/>
      <c r="I53" s="793"/>
      <c r="J53" s="793"/>
      <c r="K53" s="793"/>
      <c r="L53" s="793"/>
      <c r="M53" s="793"/>
      <c r="N53" s="793"/>
      <c r="O53" s="793"/>
      <c r="P53" s="793"/>
      <c r="Q53" s="793"/>
      <c r="R53" s="793"/>
      <c r="S53" s="793"/>
      <c r="T53" s="793"/>
      <c r="U53" s="793"/>
      <c r="V53" s="793"/>
      <c r="W53" s="793"/>
      <c r="X53" s="793"/>
      <c r="Y53" s="793"/>
      <c r="Z53" s="793"/>
      <c r="AA53" s="793"/>
      <c r="AB53" s="793"/>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794"/>
      <c r="AY53" s="477"/>
      <c r="AZ53" s="475"/>
    </row>
    <row r="54" spans="3:98" ht="18" customHeight="1" x14ac:dyDescent="0.2">
      <c r="C54" s="548"/>
      <c r="D54" s="792"/>
      <c r="E54" s="793"/>
      <c r="F54" s="793"/>
      <c r="G54" s="793"/>
      <c r="H54" s="793"/>
      <c r="I54" s="793"/>
      <c r="J54" s="793"/>
      <c r="K54" s="793"/>
      <c r="L54" s="793"/>
      <c r="M54" s="793"/>
      <c r="N54" s="793"/>
      <c r="O54" s="793"/>
      <c r="P54" s="793"/>
      <c r="Q54" s="793"/>
      <c r="R54" s="793"/>
      <c r="S54" s="793"/>
      <c r="T54" s="793"/>
      <c r="U54" s="793"/>
      <c r="V54" s="793"/>
      <c r="W54" s="793"/>
      <c r="X54" s="793"/>
      <c r="Y54" s="793"/>
      <c r="Z54" s="793"/>
      <c r="AA54" s="793"/>
      <c r="AB54" s="793"/>
      <c r="AC54" s="793"/>
      <c r="AD54" s="793"/>
      <c r="AE54" s="793"/>
      <c r="AF54" s="793"/>
      <c r="AG54" s="793"/>
      <c r="AH54" s="793"/>
      <c r="AI54" s="793"/>
      <c r="AJ54" s="793"/>
      <c r="AK54" s="793"/>
      <c r="AL54" s="793"/>
      <c r="AM54" s="793"/>
      <c r="AN54" s="793"/>
      <c r="AO54" s="793"/>
      <c r="AP54" s="793"/>
      <c r="AQ54" s="793"/>
      <c r="AR54" s="793"/>
      <c r="AS54" s="793"/>
      <c r="AT54" s="793"/>
      <c r="AU54" s="793"/>
      <c r="AV54" s="793"/>
      <c r="AW54" s="793"/>
      <c r="AX54" s="794"/>
      <c r="AY54" s="477"/>
      <c r="AZ54" s="475"/>
    </row>
    <row r="55" spans="3:98" ht="18" customHeight="1" x14ac:dyDescent="0.2">
      <c r="C55" s="548"/>
      <c r="D55" s="792"/>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3"/>
      <c r="AJ55" s="793"/>
      <c r="AK55" s="793"/>
      <c r="AL55" s="793"/>
      <c r="AM55" s="793"/>
      <c r="AN55" s="793"/>
      <c r="AO55" s="793"/>
      <c r="AP55" s="793"/>
      <c r="AQ55" s="793"/>
      <c r="AR55" s="793"/>
      <c r="AS55" s="793"/>
      <c r="AT55" s="793"/>
      <c r="AU55" s="793"/>
      <c r="AV55" s="793"/>
      <c r="AW55" s="793"/>
      <c r="AX55" s="794"/>
      <c r="AY55" s="477"/>
      <c r="AZ55" s="475"/>
    </row>
    <row r="56" spans="3:98" ht="18" customHeight="1" x14ac:dyDescent="0.2">
      <c r="C56" s="548"/>
      <c r="D56" s="792"/>
      <c r="E56" s="793"/>
      <c r="F56" s="793"/>
      <c r="G56" s="793"/>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c r="AY56" s="477"/>
      <c r="AZ56" s="439"/>
      <c r="BA56" s="439"/>
      <c r="BB56" s="439"/>
      <c r="BC56" s="439"/>
      <c r="BD56" s="439"/>
      <c r="BE56" s="439"/>
      <c r="BF56" s="439"/>
      <c r="BG56" s="439"/>
      <c r="BH56" s="439"/>
      <c r="BI56" s="439"/>
      <c r="BJ56" s="439"/>
      <c r="BK56" s="439"/>
      <c r="BL56" s="439"/>
      <c r="BM56" s="439"/>
      <c r="BN56" s="439"/>
      <c r="BO56" s="439"/>
      <c r="BP56" s="439"/>
      <c r="BQ56" s="439"/>
      <c r="BR56" s="439"/>
      <c r="BS56" s="439"/>
      <c r="BT56" s="439"/>
      <c r="BU56" s="439"/>
      <c r="BV56" s="439"/>
      <c r="BW56" s="439"/>
      <c r="BX56" s="439"/>
      <c r="BY56" s="439"/>
      <c r="BZ56" s="439"/>
      <c r="CA56" s="439"/>
      <c r="CB56" s="439"/>
      <c r="CC56" s="439"/>
      <c r="CD56" s="439"/>
      <c r="CE56" s="439"/>
      <c r="CF56" s="439"/>
      <c r="CG56" s="439"/>
      <c r="CH56" s="439"/>
      <c r="CI56" s="439"/>
      <c r="CJ56" s="439"/>
      <c r="CK56" s="439"/>
      <c r="CL56" s="439"/>
      <c r="CM56" s="439"/>
      <c r="CN56" s="439"/>
      <c r="CO56" s="439"/>
      <c r="CP56" s="439"/>
      <c r="CQ56" s="439"/>
      <c r="CR56" s="439"/>
      <c r="CS56" s="439"/>
    </row>
    <row r="57" spans="3:98" ht="18" customHeight="1" x14ac:dyDescent="0.2">
      <c r="C57" s="548"/>
      <c r="D57" s="792"/>
      <c r="E57" s="793"/>
      <c r="F57" s="793"/>
      <c r="G57" s="793"/>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c r="AY57" s="477"/>
      <c r="AZ57" s="439"/>
      <c r="BA57" s="439"/>
      <c r="BB57" s="439"/>
      <c r="BC57" s="439"/>
      <c r="BD57" s="439"/>
      <c r="BE57" s="439"/>
      <c r="BF57" s="439"/>
      <c r="BG57" s="439"/>
      <c r="BH57" s="439"/>
      <c r="BI57" s="439"/>
      <c r="BJ57" s="439"/>
      <c r="BK57" s="439"/>
      <c r="BL57" s="439"/>
      <c r="BM57" s="439"/>
      <c r="BN57" s="439"/>
      <c r="BO57" s="439"/>
      <c r="BP57" s="439"/>
      <c r="BQ57" s="439"/>
      <c r="BR57" s="439"/>
      <c r="BS57" s="439"/>
      <c r="BT57" s="439"/>
      <c r="BU57" s="439"/>
      <c r="BV57" s="439"/>
      <c r="BW57" s="439"/>
      <c r="BX57" s="439"/>
      <c r="BY57" s="439"/>
      <c r="BZ57" s="439"/>
      <c r="CA57" s="439"/>
      <c r="CB57" s="439"/>
      <c r="CC57" s="439"/>
      <c r="CD57" s="439"/>
      <c r="CE57" s="439"/>
      <c r="CF57" s="439"/>
      <c r="CG57" s="439"/>
      <c r="CH57" s="439"/>
      <c r="CI57" s="439"/>
      <c r="CJ57" s="439"/>
      <c r="CK57" s="439"/>
      <c r="CL57" s="439"/>
      <c r="CM57" s="439"/>
      <c r="CN57" s="439"/>
      <c r="CO57" s="439"/>
      <c r="CP57" s="439"/>
      <c r="CQ57" s="439"/>
      <c r="CR57" s="439"/>
      <c r="CS57" s="439"/>
      <c r="CT57" s="439"/>
    </row>
    <row r="58" spans="3:98" ht="18" customHeight="1" x14ac:dyDescent="0.2">
      <c r="C58" s="548"/>
      <c r="D58" s="792"/>
      <c r="E58" s="793"/>
      <c r="F58" s="793"/>
      <c r="G58" s="793"/>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c r="AY58" s="477"/>
      <c r="AZ58" s="439"/>
      <c r="BA58" s="439"/>
      <c r="BB58" s="439"/>
      <c r="BC58" s="439"/>
      <c r="BD58" s="439"/>
      <c r="BE58" s="439"/>
      <c r="BF58" s="439"/>
      <c r="BG58" s="439"/>
      <c r="BH58" s="439"/>
      <c r="BI58" s="439"/>
      <c r="BJ58" s="439"/>
      <c r="BK58" s="439"/>
      <c r="BL58" s="439"/>
      <c r="BM58" s="439"/>
      <c r="BN58" s="439"/>
      <c r="BO58" s="439"/>
      <c r="BP58" s="439"/>
      <c r="BQ58" s="439"/>
      <c r="BR58" s="439"/>
      <c r="BS58" s="439"/>
      <c r="BT58" s="439"/>
      <c r="BU58" s="439"/>
      <c r="BV58" s="439"/>
      <c r="BW58" s="439"/>
      <c r="BX58" s="439"/>
      <c r="BY58" s="439"/>
      <c r="BZ58" s="439"/>
      <c r="CA58" s="439"/>
      <c r="CB58" s="439"/>
      <c r="CC58" s="439"/>
      <c r="CD58" s="439"/>
      <c r="CE58" s="439"/>
      <c r="CF58" s="439"/>
      <c r="CG58" s="439"/>
      <c r="CH58" s="439"/>
      <c r="CI58" s="439"/>
      <c r="CJ58" s="439"/>
      <c r="CK58" s="439"/>
      <c r="CL58" s="439"/>
      <c r="CM58" s="439"/>
      <c r="CN58" s="439"/>
      <c r="CO58" s="439"/>
      <c r="CP58" s="439"/>
      <c r="CQ58" s="439"/>
      <c r="CR58" s="439"/>
      <c r="CS58" s="439"/>
      <c r="CT58" s="439"/>
    </row>
    <row r="59" spans="3:98" ht="18" customHeight="1" x14ac:dyDescent="0.2">
      <c r="C59" s="548"/>
      <c r="D59" s="792"/>
      <c r="E59" s="793"/>
      <c r="F59" s="793"/>
      <c r="G59" s="793"/>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c r="AY59" s="477"/>
      <c r="CT59" s="439"/>
    </row>
    <row r="60" spans="3:98" ht="18" customHeight="1" x14ac:dyDescent="0.2">
      <c r="C60" s="548"/>
      <c r="D60" s="792"/>
      <c r="E60" s="793"/>
      <c r="F60" s="793"/>
      <c r="G60" s="793"/>
      <c r="H60" s="793"/>
      <c r="I60" s="793"/>
      <c r="J60" s="793"/>
      <c r="K60" s="793"/>
      <c r="L60" s="793"/>
      <c r="M60" s="793"/>
      <c r="N60" s="793"/>
      <c r="O60" s="793"/>
      <c r="P60" s="793"/>
      <c r="Q60" s="793"/>
      <c r="R60" s="793"/>
      <c r="S60" s="793"/>
      <c r="T60" s="793"/>
      <c r="U60" s="793"/>
      <c r="V60" s="793"/>
      <c r="W60" s="793"/>
      <c r="X60" s="793"/>
      <c r="Y60" s="793"/>
      <c r="Z60" s="793"/>
      <c r="AA60" s="793"/>
      <c r="AB60" s="793"/>
      <c r="AC60" s="793"/>
      <c r="AD60" s="793"/>
      <c r="AE60" s="793"/>
      <c r="AF60" s="793"/>
      <c r="AG60" s="793"/>
      <c r="AH60" s="793"/>
      <c r="AI60" s="793"/>
      <c r="AJ60" s="793"/>
      <c r="AK60" s="793"/>
      <c r="AL60" s="793"/>
      <c r="AM60" s="793"/>
      <c r="AN60" s="793"/>
      <c r="AO60" s="793"/>
      <c r="AP60" s="793"/>
      <c r="AQ60" s="793"/>
      <c r="AR60" s="793"/>
      <c r="AS60" s="793"/>
      <c r="AT60" s="793"/>
      <c r="AU60" s="793"/>
      <c r="AV60" s="793"/>
      <c r="AW60" s="793"/>
      <c r="AX60" s="794"/>
      <c r="AY60" s="477"/>
    </row>
    <row r="61" spans="3:98" ht="18" customHeight="1" x14ac:dyDescent="0.2">
      <c r="C61" s="548"/>
      <c r="D61" s="792"/>
      <c r="E61" s="793"/>
      <c r="F61" s="793"/>
      <c r="G61" s="793"/>
      <c r="H61" s="793"/>
      <c r="I61" s="793"/>
      <c r="J61" s="793"/>
      <c r="K61" s="793"/>
      <c r="L61" s="793"/>
      <c r="M61" s="793"/>
      <c r="N61" s="793"/>
      <c r="O61" s="793"/>
      <c r="P61" s="793"/>
      <c r="Q61" s="793"/>
      <c r="R61" s="793"/>
      <c r="S61" s="793"/>
      <c r="T61" s="793"/>
      <c r="U61" s="793"/>
      <c r="V61" s="793"/>
      <c r="W61" s="793"/>
      <c r="X61" s="793"/>
      <c r="Y61" s="793"/>
      <c r="Z61" s="793"/>
      <c r="AA61" s="793"/>
      <c r="AB61" s="793"/>
      <c r="AC61" s="793"/>
      <c r="AD61" s="793"/>
      <c r="AE61" s="793"/>
      <c r="AF61" s="793"/>
      <c r="AG61" s="793"/>
      <c r="AH61" s="793"/>
      <c r="AI61" s="793"/>
      <c r="AJ61" s="793"/>
      <c r="AK61" s="793"/>
      <c r="AL61" s="793"/>
      <c r="AM61" s="793"/>
      <c r="AN61" s="793"/>
      <c r="AO61" s="793"/>
      <c r="AP61" s="793"/>
      <c r="AQ61" s="793"/>
      <c r="AR61" s="793"/>
      <c r="AS61" s="793"/>
      <c r="AT61" s="793"/>
      <c r="AU61" s="793"/>
      <c r="AV61" s="793"/>
      <c r="AW61" s="793"/>
      <c r="AX61" s="794"/>
      <c r="AY61" s="477"/>
    </row>
    <row r="62" spans="3:98" ht="18" customHeight="1" x14ac:dyDescent="0.2">
      <c r="C62" s="548"/>
      <c r="D62" s="792"/>
      <c r="E62" s="793"/>
      <c r="F62" s="793"/>
      <c r="G62" s="793"/>
      <c r="H62" s="793"/>
      <c r="I62" s="793"/>
      <c r="J62" s="793"/>
      <c r="K62" s="793"/>
      <c r="L62" s="793"/>
      <c r="M62" s="793"/>
      <c r="N62" s="793"/>
      <c r="O62" s="793"/>
      <c r="P62" s="793"/>
      <c r="Q62" s="793"/>
      <c r="R62" s="793"/>
      <c r="S62" s="793"/>
      <c r="T62" s="793"/>
      <c r="U62" s="793"/>
      <c r="V62" s="793"/>
      <c r="W62" s="793"/>
      <c r="X62" s="793"/>
      <c r="Y62" s="793"/>
      <c r="Z62" s="793"/>
      <c r="AA62" s="793"/>
      <c r="AB62" s="793"/>
      <c r="AC62" s="793"/>
      <c r="AD62" s="793"/>
      <c r="AE62" s="793"/>
      <c r="AF62" s="793"/>
      <c r="AG62" s="793"/>
      <c r="AH62" s="793"/>
      <c r="AI62" s="793"/>
      <c r="AJ62" s="793"/>
      <c r="AK62" s="793"/>
      <c r="AL62" s="793"/>
      <c r="AM62" s="793"/>
      <c r="AN62" s="793"/>
      <c r="AO62" s="793"/>
      <c r="AP62" s="793"/>
      <c r="AQ62" s="793"/>
      <c r="AR62" s="793"/>
      <c r="AS62" s="793"/>
      <c r="AT62" s="793"/>
      <c r="AU62" s="793"/>
      <c r="AV62" s="793"/>
      <c r="AW62" s="793"/>
      <c r="AX62" s="794"/>
      <c r="AY62" s="477"/>
    </row>
    <row r="63" spans="3:98" ht="18" customHeight="1" x14ac:dyDescent="0.2">
      <c r="C63" s="548"/>
      <c r="D63" s="792"/>
      <c r="E63" s="793"/>
      <c r="F63" s="793"/>
      <c r="G63" s="793"/>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c r="AY63" s="477"/>
    </row>
    <row r="64" spans="3:98" ht="18" customHeight="1" x14ac:dyDescent="0.2">
      <c r="C64" s="548"/>
      <c r="D64" s="792"/>
      <c r="E64" s="793"/>
      <c r="F64" s="793"/>
      <c r="G64" s="793"/>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4"/>
      <c r="AY64" s="477"/>
    </row>
    <row r="65" spans="1:98" ht="18" customHeight="1" x14ac:dyDescent="0.2">
      <c r="C65" s="548"/>
      <c r="D65" s="792"/>
      <c r="E65" s="793"/>
      <c r="F65" s="793"/>
      <c r="G65" s="793"/>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c r="AY65" s="477"/>
    </row>
    <row r="66" spans="1:98" ht="18" customHeight="1" x14ac:dyDescent="0.2">
      <c r="C66" s="548"/>
      <c r="D66" s="792"/>
      <c r="E66" s="793"/>
      <c r="F66" s="793"/>
      <c r="G66" s="793"/>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4"/>
      <c r="AY66" s="477"/>
    </row>
    <row r="67" spans="1:98" ht="18" customHeight="1" x14ac:dyDescent="0.2">
      <c r="C67" s="556"/>
      <c r="D67" s="792"/>
      <c r="E67" s="793"/>
      <c r="F67" s="793"/>
      <c r="G67" s="793"/>
      <c r="H67" s="793"/>
      <c r="I67" s="793"/>
      <c r="J67" s="793"/>
      <c r="K67" s="793"/>
      <c r="L67" s="793"/>
      <c r="M67" s="793"/>
      <c r="N67" s="793"/>
      <c r="O67" s="793"/>
      <c r="P67" s="793"/>
      <c r="Q67" s="793"/>
      <c r="R67" s="793"/>
      <c r="S67" s="793"/>
      <c r="T67" s="793"/>
      <c r="U67" s="793"/>
      <c r="V67" s="793"/>
      <c r="W67" s="793"/>
      <c r="X67" s="793"/>
      <c r="Y67" s="793"/>
      <c r="Z67" s="793"/>
      <c r="AA67" s="793"/>
      <c r="AB67" s="793"/>
      <c r="AC67" s="793"/>
      <c r="AD67" s="793"/>
      <c r="AE67" s="793"/>
      <c r="AF67" s="793"/>
      <c r="AG67" s="793"/>
      <c r="AH67" s="793"/>
      <c r="AI67" s="793"/>
      <c r="AJ67" s="793"/>
      <c r="AK67" s="793"/>
      <c r="AL67" s="793"/>
      <c r="AM67" s="793"/>
      <c r="AN67" s="793"/>
      <c r="AO67" s="793"/>
      <c r="AP67" s="793"/>
      <c r="AQ67" s="793"/>
      <c r="AR67" s="793"/>
      <c r="AS67" s="793"/>
      <c r="AT67" s="793"/>
      <c r="AU67" s="793"/>
      <c r="AV67" s="793"/>
      <c r="AW67" s="793"/>
      <c r="AX67" s="794"/>
      <c r="AY67" s="477"/>
    </row>
    <row r="68" spans="1:98" ht="18" customHeight="1" x14ac:dyDescent="0.2">
      <c r="C68" s="557"/>
      <c r="D68" s="799"/>
      <c r="E68" s="800"/>
      <c r="F68" s="800"/>
      <c r="G68" s="800"/>
      <c r="H68" s="800"/>
      <c r="I68" s="800"/>
      <c r="J68" s="800"/>
      <c r="K68" s="800"/>
      <c r="L68" s="800"/>
      <c r="M68" s="800"/>
      <c r="N68" s="800"/>
      <c r="O68" s="800"/>
      <c r="P68" s="800"/>
      <c r="Q68" s="800"/>
      <c r="R68" s="800"/>
      <c r="S68" s="800"/>
      <c r="T68" s="800"/>
      <c r="U68" s="800"/>
      <c r="V68" s="800"/>
      <c r="W68" s="800"/>
      <c r="X68" s="800"/>
      <c r="Y68" s="800"/>
      <c r="Z68" s="800"/>
      <c r="AA68" s="800"/>
      <c r="AB68" s="800"/>
      <c r="AC68" s="800"/>
      <c r="AD68" s="800"/>
      <c r="AE68" s="800"/>
      <c r="AF68" s="800"/>
      <c r="AG68" s="800"/>
      <c r="AH68" s="800"/>
      <c r="AI68" s="800"/>
      <c r="AJ68" s="800"/>
      <c r="AK68" s="800"/>
      <c r="AL68" s="800"/>
      <c r="AM68" s="800"/>
      <c r="AN68" s="800"/>
      <c r="AO68" s="800"/>
      <c r="AP68" s="800"/>
      <c r="AQ68" s="800"/>
      <c r="AR68" s="800"/>
      <c r="AS68" s="800"/>
      <c r="AT68" s="800"/>
      <c r="AU68" s="800"/>
      <c r="AV68" s="800"/>
      <c r="AW68" s="800"/>
      <c r="AX68" s="801"/>
      <c r="AY68" s="477"/>
    </row>
    <row r="69" spans="1:98" s="297" customFormat="1" ht="10.5" customHeight="1" x14ac:dyDescent="0.2">
      <c r="A69" s="478"/>
      <c r="B69" s="420"/>
      <c r="C69" s="438"/>
      <c r="D69" s="438"/>
      <c r="E69" s="204"/>
      <c r="F69" s="335"/>
      <c r="G69" s="335"/>
      <c r="H69" s="232"/>
      <c r="I69" s="233"/>
      <c r="J69" s="233"/>
      <c r="K69" s="233"/>
      <c r="L69" s="233"/>
      <c r="M69" s="233"/>
      <c r="N69" s="233"/>
      <c r="O69" s="233"/>
      <c r="P69" s="234"/>
      <c r="Q69" s="233"/>
      <c r="R69" s="234"/>
      <c r="S69" s="233"/>
      <c r="T69" s="234"/>
      <c r="U69" s="233"/>
      <c r="V69" s="234"/>
      <c r="W69" s="233"/>
      <c r="X69" s="232"/>
      <c r="Y69" s="233"/>
      <c r="Z69" s="232"/>
      <c r="AA69" s="233"/>
      <c r="AB69" s="232"/>
      <c r="AC69" s="233"/>
      <c r="AD69" s="232"/>
      <c r="AE69" s="233"/>
      <c r="AF69" s="232"/>
      <c r="AG69" s="479"/>
      <c r="AH69" s="232"/>
      <c r="AI69" s="233"/>
      <c r="AJ69" s="234"/>
      <c r="AK69" s="233"/>
      <c r="AL69" s="232"/>
      <c r="AM69" s="233"/>
      <c r="AN69" s="232"/>
      <c r="AO69" s="359"/>
      <c r="AP69" s="359"/>
      <c r="AQ69" s="359"/>
      <c r="AR69" s="359"/>
      <c r="AS69" s="359"/>
      <c r="AT69" s="354"/>
      <c r="AU69" s="359"/>
      <c r="AV69" s="359"/>
      <c r="AW69" s="359"/>
      <c r="AY69" s="477"/>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02"/>
      <c r="BX69" s="202"/>
      <c r="BY69" s="202"/>
      <c r="BZ69" s="202"/>
      <c r="CA69" s="202"/>
      <c r="CB69" s="202"/>
      <c r="CC69" s="202"/>
      <c r="CD69" s="202"/>
      <c r="CE69" s="202"/>
      <c r="CF69" s="202"/>
      <c r="CG69" s="202"/>
      <c r="CH69" s="202"/>
      <c r="CI69" s="202"/>
      <c r="CJ69" s="202"/>
      <c r="CK69" s="202"/>
      <c r="CL69" s="202"/>
      <c r="CM69" s="202"/>
      <c r="CN69" s="202"/>
      <c r="CO69" s="202"/>
      <c r="CP69" s="202"/>
      <c r="CQ69" s="202"/>
      <c r="CR69" s="202"/>
      <c r="CS69" s="202"/>
      <c r="CT69" s="202"/>
    </row>
    <row r="70" spans="1:98" s="297" customFormat="1" x14ac:dyDescent="0.2">
      <c r="A70" s="478"/>
      <c r="B70" s="420"/>
      <c r="C70" s="438"/>
      <c r="D70" s="438"/>
      <c r="E70" s="204"/>
      <c r="F70" s="335"/>
      <c r="G70" s="335"/>
      <c r="H70" s="232"/>
      <c r="I70" s="233"/>
      <c r="J70" s="233"/>
      <c r="K70" s="233"/>
      <c r="L70" s="233"/>
      <c r="M70" s="233"/>
      <c r="N70" s="233"/>
      <c r="O70" s="233"/>
      <c r="P70" s="234"/>
      <c r="Q70" s="233"/>
      <c r="R70" s="234"/>
      <c r="S70" s="233"/>
      <c r="T70" s="234"/>
      <c r="U70" s="233"/>
      <c r="V70" s="234"/>
      <c r="W70" s="233"/>
      <c r="X70" s="232"/>
      <c r="Y70" s="233"/>
      <c r="Z70" s="232"/>
      <c r="AA70" s="233"/>
      <c r="AB70" s="232"/>
      <c r="AC70" s="233"/>
      <c r="AD70" s="232"/>
      <c r="AE70" s="233"/>
      <c r="AF70" s="232"/>
      <c r="AG70" s="233"/>
      <c r="AH70" s="232"/>
      <c r="AI70" s="233"/>
      <c r="AJ70" s="234"/>
      <c r="AK70" s="233"/>
      <c r="AL70" s="232"/>
      <c r="AM70" s="233"/>
      <c r="AN70" s="232"/>
      <c r="AO70" s="359"/>
      <c r="AP70" s="359"/>
      <c r="AQ70" s="359"/>
      <c r="AR70" s="359"/>
      <c r="AS70" s="359"/>
      <c r="AT70" s="354"/>
      <c r="AU70" s="359"/>
      <c r="AV70" s="359"/>
      <c r="AW70" s="359"/>
      <c r="AY70" s="477"/>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02"/>
      <c r="BX70" s="202"/>
      <c r="BY70" s="202"/>
      <c r="BZ70" s="202"/>
      <c r="CA70" s="202"/>
      <c r="CB70" s="202"/>
      <c r="CC70" s="202"/>
      <c r="CD70" s="202"/>
      <c r="CE70" s="202"/>
      <c r="CF70" s="202"/>
      <c r="CG70" s="202"/>
      <c r="CH70" s="202"/>
      <c r="CI70" s="202"/>
      <c r="CJ70" s="202"/>
      <c r="CK70" s="202"/>
      <c r="CL70" s="202"/>
      <c r="CM70" s="202"/>
      <c r="CN70" s="202"/>
      <c r="CO70" s="202"/>
      <c r="CP70" s="202"/>
      <c r="CQ70" s="202"/>
      <c r="CR70" s="202"/>
      <c r="CS70" s="202"/>
      <c r="CT70" s="202"/>
    </row>
    <row r="71" spans="1:98" s="297" customFormat="1" x14ac:dyDescent="0.2">
      <c r="A71" s="478"/>
      <c r="B71" s="420"/>
      <c r="C71" s="438"/>
      <c r="D71" s="438"/>
      <c r="E71" s="204"/>
      <c r="F71" s="204"/>
      <c r="G71" s="204"/>
      <c r="H71" s="232"/>
      <c r="I71" s="233"/>
      <c r="J71" s="233"/>
      <c r="K71" s="233"/>
      <c r="L71" s="233"/>
      <c r="M71" s="233"/>
      <c r="N71" s="233"/>
      <c r="O71" s="233"/>
      <c r="P71" s="234"/>
      <c r="Q71" s="233"/>
      <c r="R71" s="234"/>
      <c r="S71" s="233"/>
      <c r="T71" s="234"/>
      <c r="U71" s="233"/>
      <c r="V71" s="234"/>
      <c r="W71" s="233"/>
      <c r="X71" s="232"/>
      <c r="Y71" s="233"/>
      <c r="Z71" s="232"/>
      <c r="AA71" s="233"/>
      <c r="AB71" s="232"/>
      <c r="AC71" s="233"/>
      <c r="AD71" s="232"/>
      <c r="AE71" s="233"/>
      <c r="AF71" s="232"/>
      <c r="AG71" s="233"/>
      <c r="AH71" s="232"/>
      <c r="AI71" s="233"/>
      <c r="AJ71" s="234"/>
      <c r="AK71" s="233"/>
      <c r="AL71" s="232"/>
      <c r="AM71" s="233"/>
      <c r="AN71" s="232"/>
      <c r="AO71" s="359"/>
      <c r="AP71" s="359"/>
      <c r="AQ71" s="359"/>
      <c r="AR71" s="359"/>
      <c r="AS71" s="359"/>
      <c r="AT71" s="354"/>
      <c r="AU71" s="359"/>
      <c r="AV71" s="359"/>
      <c r="AW71" s="359"/>
      <c r="AY71" s="439"/>
      <c r="AZ71" s="202"/>
      <c r="BA71" s="202"/>
      <c r="BB71" s="202"/>
      <c r="BC71" s="202"/>
      <c r="BD71" s="202"/>
      <c r="BE71" s="202"/>
      <c r="BF71" s="202"/>
      <c r="BG71" s="202"/>
      <c r="BH71" s="202"/>
      <c r="BI71" s="202"/>
      <c r="BJ71" s="202"/>
      <c r="BK71" s="202"/>
      <c r="BL71" s="202"/>
      <c r="BM71" s="202"/>
      <c r="BN71" s="202"/>
      <c r="BO71" s="202"/>
      <c r="BP71" s="202"/>
      <c r="BQ71" s="202"/>
      <c r="BR71" s="202"/>
      <c r="BS71" s="202"/>
      <c r="BT71" s="202"/>
      <c r="BU71" s="202"/>
      <c r="BV71" s="202"/>
      <c r="BW71" s="202"/>
      <c r="BX71" s="202"/>
      <c r="BY71" s="202"/>
      <c r="BZ71" s="202"/>
      <c r="CA71" s="202"/>
      <c r="CB71" s="202"/>
      <c r="CC71" s="202"/>
      <c r="CD71" s="202"/>
      <c r="CE71" s="202"/>
      <c r="CF71" s="202"/>
      <c r="CG71" s="202"/>
      <c r="CH71" s="202"/>
      <c r="CI71" s="202"/>
      <c r="CJ71" s="202"/>
      <c r="CK71" s="202"/>
      <c r="CL71" s="202"/>
      <c r="CM71" s="202"/>
      <c r="CN71" s="202"/>
      <c r="CO71" s="202"/>
      <c r="CP71" s="202"/>
      <c r="CQ71" s="202"/>
      <c r="CR71" s="202"/>
      <c r="CS71" s="202"/>
      <c r="CT71" s="202"/>
    </row>
    <row r="72" spans="1:98" x14ac:dyDescent="0.2">
      <c r="C72" s="438"/>
      <c r="D72" s="438"/>
      <c r="AY72" s="439"/>
    </row>
    <row r="73" spans="1:98" x14ac:dyDescent="0.2">
      <c r="C73" s="424"/>
      <c r="D73" s="424"/>
      <c r="E73" s="424"/>
      <c r="F73" s="424"/>
      <c r="G73" s="424"/>
      <c r="H73" s="354"/>
      <c r="I73" s="359"/>
      <c r="J73" s="359"/>
      <c r="K73" s="359"/>
      <c r="L73" s="359"/>
      <c r="M73" s="359"/>
      <c r="N73" s="359"/>
      <c r="O73" s="359"/>
      <c r="P73" s="427"/>
      <c r="Q73" s="359"/>
      <c r="R73" s="427"/>
      <c r="S73" s="359"/>
      <c r="T73" s="427"/>
      <c r="U73" s="359"/>
      <c r="V73" s="427"/>
      <c r="W73" s="359"/>
      <c r="X73" s="354"/>
      <c r="Y73" s="359"/>
      <c r="Z73" s="354"/>
      <c r="AA73" s="359"/>
      <c r="AB73" s="354"/>
      <c r="AC73" s="359"/>
      <c r="AD73" s="354"/>
      <c r="AE73" s="359"/>
      <c r="AF73" s="354"/>
      <c r="AG73" s="359"/>
      <c r="AH73" s="354"/>
      <c r="AI73" s="359"/>
      <c r="AJ73" s="427"/>
      <c r="AK73" s="359"/>
      <c r="AL73" s="354"/>
      <c r="AM73" s="359"/>
      <c r="AN73" s="354"/>
      <c r="AY73" s="439"/>
    </row>
  </sheetData>
  <sheetProtection sheet="1" objects="1" scenarios="1" formatCells="0" formatColumns="0" formatRows="0" insertColumns="0"/>
  <mergeCells count="44">
    <mergeCell ref="D26:AX26"/>
    <mergeCell ref="AJ6:AW6"/>
    <mergeCell ref="D61:AX61"/>
    <mergeCell ref="D68:AX68"/>
    <mergeCell ref="D64:AX64"/>
    <mergeCell ref="D65:AX65"/>
    <mergeCell ref="D66:AX66"/>
    <mergeCell ref="D67:AX67"/>
    <mergeCell ref="D55:AX55"/>
    <mergeCell ref="D51:AX51"/>
    <mergeCell ref="D48:AX48"/>
    <mergeCell ref="D49:AX49"/>
    <mergeCell ref="D50:AX50"/>
    <mergeCell ref="D56:AX56"/>
    <mergeCell ref="D47:AX47"/>
    <mergeCell ref="D46:AX46"/>
    <mergeCell ref="D33:D37"/>
    <mergeCell ref="D62:AX62"/>
    <mergeCell ref="D63:AX63"/>
    <mergeCell ref="D30:AX30"/>
    <mergeCell ref="D57:AX57"/>
    <mergeCell ref="D58:AX58"/>
    <mergeCell ref="D59:AX59"/>
    <mergeCell ref="D60:AX60"/>
    <mergeCell ref="U37:AB37"/>
    <mergeCell ref="D52:AX52"/>
    <mergeCell ref="D53:AX53"/>
    <mergeCell ref="D54:AX54"/>
    <mergeCell ref="BG3:BI3"/>
    <mergeCell ref="BM3:BO3"/>
    <mergeCell ref="U39:AB39"/>
    <mergeCell ref="U41:AB41"/>
    <mergeCell ref="E42:H43"/>
    <mergeCell ref="U43:AB43"/>
    <mergeCell ref="P31:R33"/>
    <mergeCell ref="E6:AI6"/>
    <mergeCell ref="U31:AB31"/>
    <mergeCell ref="U33:AB33"/>
    <mergeCell ref="U35:AB35"/>
    <mergeCell ref="K32:N37"/>
    <mergeCell ref="D27:AX27"/>
    <mergeCell ref="D29:AX29"/>
    <mergeCell ref="C5:AN5"/>
    <mergeCell ref="D28:AU28"/>
  </mergeCells>
  <phoneticPr fontId="10" type="noConversion"/>
  <conditionalFormatting sqref="F10 H10 AT10 AV10 J10 L10 N10 P10 R10 T10 V10 X10 Z10 AB10 AD10 AF10 AH10 AJ10 AL10 AN10 AP10 AR10">
    <cfRule type="cellIs" dxfId="78" priority="43" stopIfTrue="1" operator="lessThan">
      <formula>0.99*(F12+F13+F14+F15+F16+F18+F19)</formula>
    </cfRule>
  </conditionalFormatting>
  <conditionalFormatting sqref="F8 H8 AT8 AV8 J8 L8 N8 P8 R8 T8 V8 X8 Z8 AB8 AD8 AF8 AH8 AJ8 AL8 AN8 AP8 AR8">
    <cfRule type="cellIs" dxfId="77" priority="42" stopIfTrue="1" operator="lessThan">
      <formula>0.99*(F9+F10)</formula>
    </cfRule>
  </conditionalFormatting>
  <conditionalFormatting sqref="BC28:CJ28 BC30:CJ31 CT31:CT32 CL30:CS31 CT29 CL28:CS28">
    <cfRule type="cellIs" dxfId="76" priority="17" stopIfTrue="1" operator="equal">
      <formula>"&lt;&gt;"</formula>
    </cfRule>
  </conditionalFormatting>
  <conditionalFormatting sqref="BE21:BE23 CK21:CK23 CK8:CK10 CK12:CK19 CG21:CG23 CI21:CI23 CE21:CE23 CE8:CE10 CG8:CG10 CI8:CI10 CC21:CC23 BS8:BS10 BS21:BS23 BI21:BI23 BQ8:BQ10 BO8:BO10 BO21:BO23 BQ21:BQ23 BM8:BM10 BK8:BK10 BK21:BK23 BM21:BM23 BI8:BI10 BG8 CA8:CA10 CC8:CC10 BY21:BY23 CA21:CA23 BW8:BW10 BY8:BY10 BU8:BU10 BU21:BU23 BW21:BW23 CI12:CI19 CC12:CC19 CG12:CG19 CE12:CE19 BQ12:BQ19 BS12:BS19 BM12:BM19 BO12:BO19 BI12:BI19 BK12:BK19 CA12:CA19 BY12:BY19 BW12:BW19 BU12:BU19 CO8 CQ8 CM8:CM23">
    <cfRule type="cellIs" dxfId="75" priority="16" stopIfTrue="1" operator="equal">
      <formula>"&gt; 25%"</formula>
    </cfRule>
  </conditionalFormatting>
  <conditionalFormatting sqref="BE8:BE10 BE12:BE19">
    <cfRule type="cellIs" dxfId="74" priority="18" stopIfTrue="1" operator="equal">
      <formula>"&gt; 100%"</formula>
    </cfRule>
  </conditionalFormatting>
  <conditionalFormatting sqref="CS9:CS22">
    <cfRule type="cellIs" dxfId="73" priority="6" stopIfTrue="1" operator="equal">
      <formula>"&gt; 25%"</formula>
    </cfRule>
  </conditionalFormatting>
  <conditionalFormatting sqref="CK21:CK23 CK8:CK10 CK12:CK19 CM8:CM23">
    <cfRule type="cellIs" dxfId="72" priority="15" stopIfTrue="1" operator="equal">
      <formula>"&gt; 25%"</formula>
    </cfRule>
  </conditionalFormatting>
  <conditionalFormatting sqref="CO8">
    <cfRule type="cellIs" dxfId="71" priority="14" stopIfTrue="1" operator="equal">
      <formula>"&gt; 25%"</formula>
    </cfRule>
  </conditionalFormatting>
  <conditionalFormatting sqref="CQ8">
    <cfRule type="cellIs" dxfId="70" priority="13" stopIfTrue="1" operator="equal">
      <formula>"&gt; 25%"</formula>
    </cfRule>
  </conditionalFormatting>
  <conditionalFormatting sqref="CS8">
    <cfRule type="cellIs" dxfId="69" priority="12" stopIfTrue="1" operator="equal">
      <formula>"&gt; 25%"</formula>
    </cfRule>
  </conditionalFormatting>
  <conditionalFormatting sqref="CS8">
    <cfRule type="cellIs" dxfId="68" priority="11" stopIfTrue="1" operator="equal">
      <formula>"&gt; 25%"</formula>
    </cfRule>
  </conditionalFormatting>
  <conditionalFormatting sqref="CO9:CO22 CQ9:CQ22">
    <cfRule type="cellIs" dxfId="67" priority="10" stopIfTrue="1" operator="equal">
      <formula>"&gt; 25%"</formula>
    </cfRule>
  </conditionalFormatting>
  <conditionalFormatting sqref="CO9:CO22">
    <cfRule type="cellIs" dxfId="66" priority="9" stopIfTrue="1" operator="equal">
      <formula>"&gt; 25%"</formula>
    </cfRule>
  </conditionalFormatting>
  <conditionalFormatting sqref="CQ9:CQ22">
    <cfRule type="cellIs" dxfId="65" priority="8" stopIfTrue="1" operator="equal">
      <formula>"&gt; 25%"</formula>
    </cfRule>
  </conditionalFormatting>
  <conditionalFormatting sqref="CS9:CS22">
    <cfRule type="cellIs" dxfId="64" priority="7" stopIfTrue="1" operator="equal">
      <formula>"&gt; 25%"</formula>
    </cfRule>
  </conditionalFormatting>
  <conditionalFormatting sqref="CQ23 CO23 CS23:CT23">
    <cfRule type="cellIs" dxfId="63" priority="5" stopIfTrue="1" operator="equal">
      <formula>"&gt; 25%"</formula>
    </cfRule>
  </conditionalFormatting>
  <conditionalFormatting sqref="CQ23 CS23">
    <cfRule type="cellIs" dxfId="62" priority="4" stopIfTrue="1" operator="equal">
      <formula>"&gt; 25%"</formula>
    </cfRule>
  </conditionalFormatting>
  <conditionalFormatting sqref="BG9:BG22">
    <cfRule type="cellIs" dxfId="61" priority="3" stopIfTrue="1" operator="equal">
      <formula>"&gt; 25%"</formula>
    </cfRule>
  </conditionalFormatting>
  <conditionalFormatting sqref="BG23">
    <cfRule type="cellIs" dxfId="60" priority="2" stopIfTrue="1" operator="equal">
      <formula>"&gt; 25%"</formula>
    </cfRule>
  </conditionalFormatting>
  <conditionalFormatting sqref="CK28 CK30:CK31">
    <cfRule type="cellIs" dxfId="59" priority="1" stopIfTrue="1" operator="equal">
      <formula>"&lt;&gt;"</formula>
    </cfRule>
  </conditionalFormatting>
  <printOptions horizontalCentered="1"/>
  <pageMargins left="0.5" right="0.5" top="0.75" bottom="0.75" header="0.5" footer="0.5"/>
  <pageSetup paperSize="9" scale="55" firstPageNumber="19" fitToHeight="0" orientation="landscape"/>
  <headerFooter alignWithMargins="0">
    <oddFooter>&amp;C&amp;"Arial,Regular"UNSD/Programa de las Naciones Unidas para el Medio Ambiente Cuestionario 2018 Estadisticas Ambientales -  Sección del Agua -  &amp;P</oddFooter>
  </headerFooter>
  <rowBreaks count="1" manualBreakCount="1">
    <brk id="43" min="2" max="53" man="1"/>
  </rowBreak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autoPageBreaks="0" fitToPage="1"/>
  </sheetPr>
  <dimension ref="A1:CW117"/>
  <sheetViews>
    <sheetView showGridLines="0" topLeftCell="C4" zoomScale="85" zoomScaleNormal="85" zoomScaleSheetLayoutView="85" zoomScalePageLayoutView="40" workbookViewId="0">
      <selection activeCell="F8" sqref="F8"/>
    </sheetView>
  </sheetViews>
  <sheetFormatPr defaultColWidth="9.33203125" defaultRowHeight="12.75" x14ac:dyDescent="0.2"/>
  <cols>
    <col min="1" max="1" width="2.83203125" style="191" hidden="1" customWidth="1"/>
    <col min="2" max="2" width="4.5" style="192" hidden="1" customWidth="1"/>
    <col min="3" max="3" width="8.33203125" style="204" customWidth="1"/>
    <col min="4" max="4" width="37.6640625" style="204" customWidth="1"/>
    <col min="5" max="5" width="13.6640625" style="204" customWidth="1"/>
    <col min="6" max="6" width="7.6640625" style="204" customWidth="1"/>
    <col min="7" max="7" width="1.83203125" style="204" customWidth="1"/>
    <col min="8" max="8" width="7" style="232" customWidth="1"/>
    <col min="9" max="9" width="1.83203125" style="233" customWidth="1"/>
    <col min="10" max="10" width="7.1640625" style="233" customWidth="1"/>
    <col min="11" max="11" width="1.83203125" style="233" customWidth="1"/>
    <col min="12" max="12" width="7.1640625" style="233" customWidth="1"/>
    <col min="13" max="13" width="1.83203125" style="233" customWidth="1"/>
    <col min="14" max="14" width="7.1640625" style="233" customWidth="1"/>
    <col min="15" max="15" width="1.83203125" style="233" customWidth="1"/>
    <col min="16" max="16" width="7" style="234" customWidth="1"/>
    <col min="17" max="17" width="1.83203125" style="233" customWidth="1"/>
    <col min="18" max="18" width="7" style="234" customWidth="1"/>
    <col min="19" max="19" width="1.83203125" style="233" customWidth="1"/>
    <col min="20" max="20" width="7" style="234" customWidth="1"/>
    <col min="21" max="21" width="1.83203125" style="233" customWidth="1"/>
    <col min="22" max="22" width="7" style="234" customWidth="1"/>
    <col min="23" max="23" width="1.83203125" style="233" customWidth="1"/>
    <col min="24" max="24" width="7" style="232" customWidth="1"/>
    <col min="25" max="25" width="1.83203125" style="233" customWidth="1"/>
    <col min="26" max="26" width="7" style="232" customWidth="1"/>
    <col min="27" max="27" width="1.83203125" style="233" customWidth="1"/>
    <col min="28" max="28" width="7" style="232" customWidth="1"/>
    <col min="29" max="29" width="1.83203125" style="233" customWidth="1"/>
    <col min="30" max="30" width="7" style="232" customWidth="1"/>
    <col min="31" max="31" width="1.83203125" style="233" customWidth="1"/>
    <col min="32" max="32" width="7" style="232" customWidth="1"/>
    <col min="33" max="33" width="1.83203125" style="233" customWidth="1"/>
    <col min="34" max="34" width="7" style="232" customWidth="1"/>
    <col min="35" max="35" width="1.83203125" style="233" customWidth="1"/>
    <col min="36" max="36" width="7" style="234" customWidth="1"/>
    <col min="37" max="37" width="1.83203125" style="233" customWidth="1"/>
    <col min="38" max="38" width="7" style="232" customWidth="1"/>
    <col min="39" max="39" width="1.83203125" style="233" customWidth="1"/>
    <col min="40" max="40" width="7" style="232" customWidth="1"/>
    <col min="41" max="41" width="1.83203125" style="233" customWidth="1"/>
    <col min="42" max="42" width="7" style="233" customWidth="1"/>
    <col min="43" max="43" width="1.83203125" style="233" customWidth="1"/>
    <col min="44" max="44" width="7" style="233" customWidth="1"/>
    <col min="45" max="45" width="1.83203125" style="233" customWidth="1"/>
    <col min="46" max="46" width="7" style="232" customWidth="1"/>
    <col min="47" max="47" width="1.83203125" style="233" customWidth="1"/>
    <col min="48" max="48" width="7" style="233" customWidth="1"/>
    <col min="49" max="49" width="1.83203125" style="233" customWidth="1"/>
    <col min="50" max="50" width="1.83203125" style="204" customWidth="1"/>
    <col min="51" max="51" width="4.33203125" style="202" customWidth="1"/>
    <col min="52" max="52" width="7.6640625" style="202" customWidth="1"/>
    <col min="53" max="53" width="34.33203125" style="202" customWidth="1"/>
    <col min="54" max="54" width="10.33203125" style="202" customWidth="1"/>
    <col min="55" max="55" width="6.1640625" style="202" customWidth="1"/>
    <col min="56" max="56" width="1.33203125" style="202" customWidth="1"/>
    <col min="57" max="57" width="6.1640625" style="202" customWidth="1"/>
    <col min="58" max="58" width="1.6640625" style="202" customWidth="1"/>
    <col min="59" max="59" width="6.1640625" style="202" customWidth="1"/>
    <col min="60" max="60" width="1.6640625" style="202" customWidth="1"/>
    <col min="61" max="61" width="6.1640625" style="202" customWidth="1"/>
    <col min="62" max="62" width="1.6640625" style="202" customWidth="1"/>
    <col min="63" max="63" width="6.1640625" style="202" customWidth="1"/>
    <col min="64" max="64" width="1.6640625" style="202" customWidth="1"/>
    <col min="65" max="65" width="6.1640625" style="202" customWidth="1"/>
    <col min="66" max="66" width="1.6640625" style="202" customWidth="1"/>
    <col min="67" max="67" width="6.1640625" style="202" customWidth="1"/>
    <col min="68" max="68" width="1.6640625" style="202" customWidth="1"/>
    <col min="69" max="69" width="6.1640625" style="202" customWidth="1"/>
    <col min="70" max="70" width="1.6640625" style="202" customWidth="1"/>
    <col min="71" max="71" width="6.1640625" style="202" customWidth="1"/>
    <col min="72" max="72" width="1.6640625" style="202" customWidth="1"/>
    <col min="73" max="73" width="6.1640625" style="202" customWidth="1"/>
    <col min="74" max="74" width="1.6640625" style="202" customWidth="1"/>
    <col min="75" max="75" width="6.1640625" style="202" customWidth="1"/>
    <col min="76" max="76" width="1.6640625" style="202" customWidth="1"/>
    <col min="77" max="77" width="6.1640625" style="202" customWidth="1"/>
    <col min="78" max="78" width="1.6640625" style="202" customWidth="1"/>
    <col min="79" max="79" width="6.1640625" style="202" customWidth="1"/>
    <col min="80" max="80" width="1.6640625" style="202" customWidth="1"/>
    <col min="81" max="81" width="6.1640625" style="202" customWidth="1"/>
    <col min="82" max="82" width="1.6640625" style="202" customWidth="1"/>
    <col min="83" max="83" width="6.1640625" style="202" customWidth="1"/>
    <col min="84" max="84" width="1.6640625" style="202" customWidth="1"/>
    <col min="85" max="85" width="6.1640625" style="202" customWidth="1"/>
    <col min="86" max="86" width="1.6640625" style="202" customWidth="1"/>
    <col min="87" max="87" width="6.1640625" style="202" customWidth="1"/>
    <col min="88" max="88" width="1.6640625" style="202" customWidth="1"/>
    <col min="89" max="89" width="6.1640625" style="202" customWidth="1"/>
    <col min="90" max="90" width="1.6640625" style="202" customWidth="1"/>
    <col min="91" max="91" width="6.1640625" style="202" customWidth="1"/>
    <col min="92" max="92" width="1.6640625" style="202" customWidth="1"/>
    <col min="93" max="93" width="6.1640625" style="202" customWidth="1"/>
    <col min="94" max="94" width="1.6640625" style="202" customWidth="1"/>
    <col min="95" max="95" width="6.1640625" style="202" customWidth="1"/>
    <col min="96" max="96" width="1.6640625" style="202" customWidth="1"/>
    <col min="97" max="97" width="6.1640625" style="202" customWidth="1"/>
    <col min="98" max="98" width="1.6640625" style="202" customWidth="1"/>
    <col min="99" max="99" width="6.1640625" style="202" customWidth="1"/>
    <col min="100" max="100" width="1.6640625" style="202" customWidth="1"/>
    <col min="101" max="101" width="6.1640625" style="202" customWidth="1"/>
    <col min="102" max="16384" width="9.33203125" style="204"/>
  </cols>
  <sheetData>
    <row r="1" spans="1:101" s="438" customFormat="1" ht="15.75" customHeight="1" x14ac:dyDescent="0.25">
      <c r="A1" s="437"/>
      <c r="B1" s="192">
        <v>0</v>
      </c>
      <c r="C1" s="193" t="s">
        <v>388</v>
      </c>
      <c r="D1" s="193"/>
      <c r="E1" s="344"/>
      <c r="F1" s="344"/>
      <c r="G1" s="344"/>
      <c r="H1" s="345"/>
      <c r="I1" s="346"/>
      <c r="J1" s="346"/>
      <c r="K1" s="346"/>
      <c r="L1" s="346"/>
      <c r="M1" s="346"/>
      <c r="N1" s="346"/>
      <c r="O1" s="346"/>
      <c r="P1" s="347"/>
      <c r="Q1" s="346"/>
      <c r="R1" s="347"/>
      <c r="S1" s="346"/>
      <c r="T1" s="347"/>
      <c r="U1" s="346"/>
      <c r="V1" s="347"/>
      <c r="W1" s="346"/>
      <c r="X1" s="345"/>
      <c r="Y1" s="346"/>
      <c r="Z1" s="345"/>
      <c r="AA1" s="346"/>
      <c r="AB1" s="345"/>
      <c r="AC1" s="346"/>
      <c r="AD1" s="345"/>
      <c r="AE1" s="346"/>
      <c r="AF1" s="345"/>
      <c r="AG1" s="346"/>
      <c r="AH1" s="345"/>
      <c r="AI1" s="346"/>
      <c r="AJ1" s="347"/>
      <c r="AK1" s="346"/>
      <c r="AL1" s="345"/>
      <c r="AM1" s="346"/>
      <c r="AN1" s="345"/>
      <c r="AO1" s="346"/>
      <c r="AP1" s="346"/>
      <c r="AQ1" s="346"/>
      <c r="AR1" s="346"/>
      <c r="AS1" s="346"/>
      <c r="AT1" s="345"/>
      <c r="AU1" s="346"/>
      <c r="AV1" s="346"/>
      <c r="AW1" s="346"/>
      <c r="AX1" s="480"/>
      <c r="AY1" s="474"/>
      <c r="AZ1" s="203" t="s">
        <v>456</v>
      </c>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c r="CE1" s="474"/>
      <c r="CF1" s="474"/>
      <c r="CG1" s="474"/>
      <c r="CH1" s="474"/>
      <c r="CI1" s="474"/>
      <c r="CJ1" s="474"/>
      <c r="CK1" s="474"/>
      <c r="CL1" s="474"/>
      <c r="CM1" s="474"/>
      <c r="CN1" s="474"/>
      <c r="CO1" s="474"/>
      <c r="CP1" s="474"/>
      <c r="CQ1" s="474"/>
      <c r="CR1" s="474"/>
      <c r="CS1" s="474"/>
      <c r="CT1" s="474"/>
      <c r="CU1" s="474"/>
      <c r="CV1" s="474"/>
      <c r="CW1" s="474"/>
    </row>
    <row r="2" spans="1:101" ht="6" customHeight="1" x14ac:dyDescent="0.2">
      <c r="E2" s="350"/>
      <c r="F2" s="350"/>
      <c r="G2" s="350"/>
      <c r="H2" s="354"/>
      <c r="AE2" s="359"/>
      <c r="AF2" s="354"/>
      <c r="AG2" s="359"/>
      <c r="AH2" s="354"/>
      <c r="AI2" s="359"/>
      <c r="AJ2" s="427"/>
      <c r="AK2" s="359"/>
      <c r="AL2" s="354"/>
      <c r="AM2" s="359"/>
      <c r="AN2" s="354"/>
      <c r="AO2" s="359"/>
      <c r="AP2" s="359"/>
      <c r="AQ2" s="359"/>
      <c r="AR2" s="359"/>
      <c r="AS2" s="359"/>
      <c r="AT2" s="354"/>
      <c r="AV2" s="359"/>
      <c r="AW2" s="359"/>
    </row>
    <row r="3" spans="1:101" s="371" customFormat="1" ht="17.25" customHeight="1" x14ac:dyDescent="0.25">
      <c r="A3" s="294"/>
      <c r="B3" s="294">
        <v>222</v>
      </c>
      <c r="C3" s="355" t="s">
        <v>508</v>
      </c>
      <c r="D3" s="28" t="s">
        <v>254</v>
      </c>
      <c r="E3" s="429"/>
      <c r="F3" s="430"/>
      <c r="G3" s="431"/>
      <c r="H3" s="432"/>
      <c r="I3" s="433"/>
      <c r="J3" s="433"/>
      <c r="K3" s="433"/>
      <c r="L3" s="433"/>
      <c r="M3" s="433"/>
      <c r="N3" s="433"/>
      <c r="O3" s="433"/>
      <c r="P3" s="432"/>
      <c r="Q3" s="433"/>
      <c r="R3" s="432"/>
      <c r="S3" s="433"/>
      <c r="T3" s="432"/>
      <c r="U3" s="433"/>
      <c r="V3" s="432"/>
      <c r="W3" s="431"/>
      <c r="X3" s="432"/>
      <c r="Y3" s="434"/>
      <c r="Z3" s="107"/>
      <c r="AA3" s="434"/>
      <c r="AB3" s="54"/>
      <c r="AC3" s="355" t="s">
        <v>509</v>
      </c>
      <c r="AD3" s="357"/>
      <c r="AE3" s="356"/>
      <c r="AF3" s="357"/>
      <c r="AG3" s="358"/>
      <c r="AH3" s="357"/>
      <c r="AI3" s="431"/>
      <c r="AJ3" s="432"/>
      <c r="AK3" s="431"/>
      <c r="AL3" s="432"/>
      <c r="AM3" s="431"/>
      <c r="AN3" s="432"/>
      <c r="AO3" s="435"/>
      <c r="AP3" s="435"/>
      <c r="AQ3" s="435"/>
      <c r="AR3" s="435"/>
      <c r="AS3" s="435"/>
      <c r="AT3" s="436"/>
      <c r="AU3" s="436"/>
      <c r="AV3" s="435"/>
      <c r="AW3" s="435"/>
      <c r="AX3" s="436"/>
      <c r="AY3" s="361"/>
      <c r="AZ3" s="362" t="s">
        <v>432</v>
      </c>
      <c r="BA3" s="440"/>
      <c r="BB3" s="369"/>
      <c r="BC3" s="441"/>
      <c r="BD3" s="441"/>
      <c r="BE3" s="481"/>
      <c r="BF3" s="481"/>
      <c r="BG3" s="481"/>
      <c r="BH3" s="481"/>
      <c r="BI3" s="442"/>
      <c r="BJ3" s="442"/>
      <c r="BK3" s="442"/>
      <c r="BL3" s="442"/>
      <c r="BM3" s="481"/>
      <c r="BN3" s="481"/>
      <c r="BO3" s="442"/>
      <c r="BP3" s="442"/>
      <c r="BQ3" s="442"/>
      <c r="BR3" s="442"/>
      <c r="BS3" s="442"/>
      <c r="BT3" s="442"/>
      <c r="BU3" s="443"/>
      <c r="BV3" s="443"/>
      <c r="BW3" s="369"/>
      <c r="BX3" s="369"/>
      <c r="BY3" s="369"/>
      <c r="BZ3" s="369"/>
      <c r="CA3" s="369"/>
      <c r="CB3" s="369"/>
      <c r="CC3" s="443"/>
      <c r="CD3" s="443"/>
      <c r="CE3" s="369"/>
      <c r="CF3" s="369"/>
      <c r="CG3" s="369"/>
      <c r="CH3" s="369"/>
      <c r="CI3" s="369"/>
      <c r="CJ3" s="369"/>
      <c r="CK3" s="369"/>
      <c r="CL3" s="369"/>
      <c r="CM3" s="369"/>
      <c r="CN3" s="369"/>
      <c r="CO3" s="369"/>
      <c r="CP3" s="369"/>
      <c r="CQ3" s="440"/>
      <c r="CR3" s="440"/>
      <c r="CS3" s="369"/>
      <c r="CT3" s="369"/>
      <c r="CU3" s="440"/>
      <c r="CV3" s="440"/>
      <c r="CW3" s="440"/>
    </row>
    <row r="4" spans="1:101" ht="6" customHeight="1" x14ac:dyDescent="0.25">
      <c r="C4" s="482"/>
      <c r="D4" s="482"/>
      <c r="E4" s="407"/>
      <c r="F4" s="407"/>
      <c r="G4" s="407"/>
      <c r="H4" s="359"/>
      <c r="I4" s="359"/>
      <c r="J4" s="359"/>
      <c r="K4" s="359"/>
      <c r="L4" s="359"/>
      <c r="M4" s="359"/>
      <c r="N4" s="359"/>
      <c r="O4" s="359"/>
      <c r="P4" s="427"/>
      <c r="Q4" s="359"/>
      <c r="R4" s="427"/>
      <c r="S4" s="359"/>
      <c r="T4" s="427"/>
      <c r="U4" s="359"/>
      <c r="V4" s="427"/>
      <c r="W4" s="359"/>
      <c r="X4" s="354"/>
      <c r="Y4" s="359"/>
      <c r="Z4" s="354"/>
      <c r="AA4" s="359"/>
      <c r="AB4" s="354"/>
      <c r="AC4" s="359"/>
      <c r="AE4" s="359"/>
      <c r="AF4" s="354"/>
      <c r="AG4" s="359"/>
      <c r="AH4" s="354"/>
      <c r="AI4" s="359"/>
      <c r="AJ4" s="427"/>
      <c r="AK4" s="359"/>
      <c r="AL4" s="354"/>
      <c r="AM4" s="359"/>
      <c r="AN4" s="483"/>
      <c r="AO4" s="359"/>
      <c r="AP4" s="359"/>
      <c r="AQ4" s="359"/>
      <c r="AR4" s="359"/>
      <c r="AS4" s="359"/>
      <c r="AT4" s="354"/>
      <c r="AV4" s="359"/>
      <c r="AW4" s="359"/>
      <c r="AZ4" s="334"/>
    </row>
    <row r="5" spans="1:101" s="438" customFormat="1" ht="18" customHeight="1" x14ac:dyDescent="0.25">
      <c r="A5" s="437"/>
      <c r="B5" s="192">
        <v>7</v>
      </c>
      <c r="C5" s="822" t="s">
        <v>14</v>
      </c>
      <c r="D5" s="822"/>
      <c r="E5" s="868"/>
      <c r="F5" s="868"/>
      <c r="G5" s="868"/>
      <c r="H5" s="868"/>
      <c r="I5" s="824"/>
      <c r="J5" s="824"/>
      <c r="K5" s="824"/>
      <c r="L5" s="824"/>
      <c r="M5" s="824"/>
      <c r="N5" s="824"/>
      <c r="O5" s="824"/>
      <c r="P5" s="824"/>
      <c r="Q5" s="824"/>
      <c r="R5" s="824"/>
      <c r="S5" s="824"/>
      <c r="T5" s="824"/>
      <c r="U5" s="824"/>
      <c r="V5" s="824"/>
      <c r="W5" s="824"/>
      <c r="X5" s="868"/>
      <c r="Y5" s="824"/>
      <c r="Z5" s="868"/>
      <c r="AA5" s="824"/>
      <c r="AB5" s="868"/>
      <c r="AC5" s="824"/>
      <c r="AD5" s="868"/>
      <c r="AE5" s="824"/>
      <c r="AF5" s="868"/>
      <c r="AG5" s="824"/>
      <c r="AH5" s="868"/>
      <c r="AI5" s="824"/>
      <c r="AJ5" s="824"/>
      <c r="AK5" s="824"/>
      <c r="AL5" s="868"/>
      <c r="AM5" s="824"/>
      <c r="AN5" s="868"/>
      <c r="AO5" s="373"/>
      <c r="AP5" s="373"/>
      <c r="AQ5" s="373"/>
      <c r="AR5" s="373"/>
      <c r="AS5" s="373"/>
      <c r="AT5" s="374"/>
      <c r="AU5" s="373"/>
      <c r="AV5" s="373"/>
      <c r="AW5" s="373"/>
      <c r="AX5" s="444"/>
      <c r="AY5" s="474"/>
      <c r="AZ5" s="375" t="s">
        <v>433</v>
      </c>
      <c r="BA5" s="474"/>
      <c r="BB5" s="474"/>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4"/>
      <c r="CL5" s="474"/>
      <c r="CM5" s="474"/>
      <c r="CN5" s="474"/>
      <c r="CO5" s="474"/>
      <c r="CP5" s="474"/>
      <c r="CQ5" s="474"/>
      <c r="CR5" s="474"/>
      <c r="CS5" s="474"/>
      <c r="CT5" s="474"/>
      <c r="CU5" s="474"/>
      <c r="CV5" s="474"/>
      <c r="CW5" s="474"/>
    </row>
    <row r="6" spans="1:101" s="446" customFormat="1" ht="30.75" customHeight="1" x14ac:dyDescent="0.2">
      <c r="A6" s="445"/>
      <c r="B6" s="192"/>
      <c r="C6" s="438"/>
      <c r="D6" s="438"/>
      <c r="F6" s="649" t="s">
        <v>401</v>
      </c>
      <c r="G6" s="644"/>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376"/>
      <c r="AK6" s="377"/>
      <c r="AL6" s="376"/>
      <c r="AM6" s="232"/>
      <c r="AN6" s="376"/>
      <c r="AO6" s="378"/>
      <c r="AP6" s="378"/>
      <c r="AQ6" s="378"/>
      <c r="AR6" s="378"/>
      <c r="AS6" s="378"/>
      <c r="AT6" s="335"/>
      <c r="AV6" s="378"/>
      <c r="AW6" s="378"/>
      <c r="AX6" s="335"/>
      <c r="AY6" s="474"/>
      <c r="AZ6" s="379" t="s">
        <v>428</v>
      </c>
      <c r="BA6" s="47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O6" s="474"/>
      <c r="CP6" s="474"/>
      <c r="CQ6" s="474"/>
      <c r="CR6" s="474"/>
      <c r="CS6" s="474"/>
      <c r="CT6" s="474"/>
      <c r="CU6" s="474"/>
      <c r="CV6" s="474"/>
      <c r="CW6" s="474"/>
    </row>
    <row r="7" spans="1:101" ht="22.5" customHeight="1" x14ac:dyDescent="0.2">
      <c r="B7" s="192">
        <v>2</v>
      </c>
      <c r="C7" s="244" t="s">
        <v>510</v>
      </c>
      <c r="D7" s="244" t="s">
        <v>511</v>
      </c>
      <c r="E7" s="244" t="s">
        <v>512</v>
      </c>
      <c r="F7" s="571">
        <v>1990</v>
      </c>
      <c r="G7" s="572"/>
      <c r="H7" s="571">
        <v>1995</v>
      </c>
      <c r="I7" s="572"/>
      <c r="J7" s="571">
        <v>2000</v>
      </c>
      <c r="K7" s="572"/>
      <c r="L7" s="571">
        <v>2001</v>
      </c>
      <c r="M7" s="573"/>
      <c r="N7" s="571">
        <v>2002</v>
      </c>
      <c r="O7" s="573"/>
      <c r="P7" s="571">
        <v>2003</v>
      </c>
      <c r="Q7" s="573"/>
      <c r="R7" s="571">
        <v>2004</v>
      </c>
      <c r="S7" s="573"/>
      <c r="T7" s="571">
        <v>2005</v>
      </c>
      <c r="U7" s="573"/>
      <c r="V7" s="571">
        <v>2006</v>
      </c>
      <c r="W7" s="573"/>
      <c r="X7" s="571">
        <v>2007</v>
      </c>
      <c r="Y7" s="573"/>
      <c r="Z7" s="571">
        <v>2008</v>
      </c>
      <c r="AA7" s="574"/>
      <c r="AB7" s="571">
        <v>2009</v>
      </c>
      <c r="AC7" s="574"/>
      <c r="AD7" s="571">
        <v>2010</v>
      </c>
      <c r="AE7" s="573"/>
      <c r="AF7" s="571">
        <v>2011</v>
      </c>
      <c r="AG7" s="573"/>
      <c r="AH7" s="571">
        <v>2012</v>
      </c>
      <c r="AI7" s="573"/>
      <c r="AJ7" s="571">
        <v>2013</v>
      </c>
      <c r="AK7" s="573"/>
      <c r="AL7" s="571">
        <v>2014</v>
      </c>
      <c r="AM7" s="573"/>
      <c r="AN7" s="571">
        <v>2015</v>
      </c>
      <c r="AO7" s="573"/>
      <c r="AP7" s="571">
        <v>2016</v>
      </c>
      <c r="AQ7" s="573"/>
      <c r="AR7" s="571">
        <v>2017</v>
      </c>
      <c r="AS7" s="573"/>
      <c r="AT7" s="571">
        <v>2018</v>
      </c>
      <c r="AU7" s="573"/>
      <c r="AV7" s="571">
        <v>2019</v>
      </c>
      <c r="AW7" s="573"/>
      <c r="AZ7" s="244" t="s">
        <v>195</v>
      </c>
      <c r="BA7" s="244" t="s">
        <v>196</v>
      </c>
      <c r="BB7" s="244" t="s">
        <v>197</v>
      </c>
      <c r="BC7" s="243">
        <v>1990</v>
      </c>
      <c r="BD7" s="243"/>
      <c r="BE7" s="244">
        <v>1995</v>
      </c>
      <c r="BF7" s="633"/>
      <c r="BG7" s="244">
        <v>2000</v>
      </c>
      <c r="BH7" s="244"/>
      <c r="BI7" s="244">
        <v>2001</v>
      </c>
      <c r="BJ7" s="244"/>
      <c r="BK7" s="244">
        <v>2002</v>
      </c>
      <c r="BL7" s="244"/>
      <c r="BM7" s="244">
        <v>2003</v>
      </c>
      <c r="BN7" s="244"/>
      <c r="BO7" s="244">
        <v>2004</v>
      </c>
      <c r="BP7" s="244"/>
      <c r="BQ7" s="244">
        <v>2005</v>
      </c>
      <c r="BR7" s="244"/>
      <c r="BS7" s="244">
        <v>2006</v>
      </c>
      <c r="BT7" s="244"/>
      <c r="BU7" s="244">
        <v>2007</v>
      </c>
      <c r="BV7" s="244"/>
      <c r="BW7" s="244">
        <v>2008</v>
      </c>
      <c r="BX7" s="244"/>
      <c r="BY7" s="244">
        <v>2009</v>
      </c>
      <c r="BZ7" s="244"/>
      <c r="CA7" s="244">
        <v>2010</v>
      </c>
      <c r="CB7" s="244"/>
      <c r="CC7" s="244">
        <v>2011</v>
      </c>
      <c r="CD7" s="244"/>
      <c r="CE7" s="244">
        <v>2012</v>
      </c>
      <c r="CF7" s="244"/>
      <c r="CG7" s="244">
        <v>2013</v>
      </c>
      <c r="CH7" s="244"/>
      <c r="CI7" s="244">
        <v>2014</v>
      </c>
      <c r="CJ7" s="244"/>
      <c r="CK7" s="244">
        <v>2015</v>
      </c>
      <c r="CL7" s="244"/>
      <c r="CM7" s="244">
        <v>2016</v>
      </c>
      <c r="CN7" s="244"/>
      <c r="CO7" s="244">
        <v>2017</v>
      </c>
      <c r="CP7" s="244"/>
      <c r="CQ7" s="244">
        <v>2018</v>
      </c>
      <c r="CR7" s="244"/>
      <c r="CS7" s="244">
        <v>2019</v>
      </c>
      <c r="CT7" s="244"/>
      <c r="CU7" s="244"/>
      <c r="CV7" s="244"/>
      <c r="CW7" s="244"/>
    </row>
    <row r="8" spans="1:101" ht="18.95" customHeight="1" x14ac:dyDescent="0.2">
      <c r="B8" s="249">
        <v>84</v>
      </c>
      <c r="C8" s="389">
        <v>1</v>
      </c>
      <c r="D8" s="268" t="s">
        <v>489</v>
      </c>
      <c r="E8" s="385" t="s">
        <v>200</v>
      </c>
      <c r="F8" s="544"/>
      <c r="G8" s="565"/>
      <c r="H8" s="544"/>
      <c r="I8" s="565"/>
      <c r="J8" s="544"/>
      <c r="K8" s="565"/>
      <c r="L8" s="544"/>
      <c r="M8" s="565"/>
      <c r="N8" s="544"/>
      <c r="O8" s="565"/>
      <c r="P8" s="544"/>
      <c r="Q8" s="565"/>
      <c r="R8" s="544"/>
      <c r="S8" s="565"/>
      <c r="T8" s="544"/>
      <c r="U8" s="565"/>
      <c r="V8" s="544"/>
      <c r="W8" s="565"/>
      <c r="X8" s="544"/>
      <c r="Y8" s="565"/>
      <c r="Z8" s="544"/>
      <c r="AA8" s="565"/>
      <c r="AB8" s="544"/>
      <c r="AC8" s="565"/>
      <c r="AD8" s="544"/>
      <c r="AE8" s="565"/>
      <c r="AF8" s="544"/>
      <c r="AG8" s="565"/>
      <c r="AH8" s="544"/>
      <c r="AI8" s="565"/>
      <c r="AJ8" s="544"/>
      <c r="AK8" s="565"/>
      <c r="AL8" s="544"/>
      <c r="AM8" s="565"/>
      <c r="AN8" s="544"/>
      <c r="AO8" s="565"/>
      <c r="AP8" s="544"/>
      <c r="AQ8" s="565"/>
      <c r="AR8" s="544"/>
      <c r="AS8" s="565"/>
      <c r="AT8" s="544"/>
      <c r="AU8" s="565"/>
      <c r="AV8" s="544"/>
      <c r="AW8" s="565"/>
      <c r="AZ8" s="393">
        <v>1</v>
      </c>
      <c r="BA8" s="484" t="s">
        <v>460</v>
      </c>
      <c r="BB8" s="81" t="s">
        <v>586</v>
      </c>
      <c r="BC8" s="485" t="s">
        <v>457</v>
      </c>
      <c r="BD8" s="114"/>
      <c r="BE8" s="98" t="str">
        <f t="shared" ref="BE8:BE27" si="0">IF(OR(ISBLANK(F8),ISBLANK(H8)),"N/A",IF(ABS((H8-F8)/F8)&gt;1,"&gt; 100%","ok"))</f>
        <v>N/A</v>
      </c>
      <c r="BF8" s="98"/>
      <c r="BG8" s="98" t="str">
        <f>IF(OR(ISBLANK(H8),ISBLANK(J8)),"N/A",IF(ABS((J8-H8)/H8)&gt;1,"&gt; 100%","ok"))</f>
        <v>N/A</v>
      </c>
      <c r="BH8" s="98"/>
      <c r="BI8" s="98" t="str">
        <f t="shared" ref="BI8:BI27" si="1">IF(OR(ISBLANK(J8),ISBLANK(L8)),"N/A",IF(ABS((L8-J8)/J8)&gt;0.25,"&gt; 25%","ok"))</f>
        <v>N/A</v>
      </c>
      <c r="BJ8" s="98"/>
      <c r="BK8" s="98" t="str">
        <f t="shared" ref="BK8:BK27" si="2">IF(OR(ISBLANK(L8),ISBLANK(N8)),"N/A",IF(ABS((N8-L8)/L8)&gt;0.25,"&gt; 25%","ok"))</f>
        <v>N/A</v>
      </c>
      <c r="BL8" s="98"/>
      <c r="BM8" s="98" t="str">
        <f t="shared" ref="BM8:BM27" si="3">IF(OR(ISBLANK(N8),ISBLANK(P8)),"N/A",IF(ABS((P8-N8)/N8)&gt;0.25,"&gt; 25%","ok"))</f>
        <v>N/A</v>
      </c>
      <c r="BN8" s="98"/>
      <c r="BO8" s="98" t="str">
        <f t="shared" ref="BO8:BO27" si="4">IF(OR(ISBLANK(P8),ISBLANK(R8)),"N/A",IF(ABS((R8-P8)/P8)&gt;0.25,"&gt; 25%","ok"))</f>
        <v>N/A</v>
      </c>
      <c r="BP8" s="98"/>
      <c r="BQ8" s="98" t="str">
        <f t="shared" ref="BQ8:BQ27" si="5">IF(OR(ISBLANK(R8),ISBLANK(T8)),"N/A",IF(ABS((T8-R8)/R8)&gt;0.25,"&gt; 25%","ok"))</f>
        <v>N/A</v>
      </c>
      <c r="BR8" s="98"/>
      <c r="BS8" s="98" t="str">
        <f t="shared" ref="BS8:BS27" si="6">IF(OR(ISBLANK(T8),ISBLANK(V8)),"N/A",IF(ABS((V8-T8)/T8)&gt;0.25,"&gt; 25%","ok"))</f>
        <v>N/A</v>
      </c>
      <c r="BT8" s="98"/>
      <c r="BU8" s="98" t="str">
        <f t="shared" ref="BU8:BU27" si="7">IF(OR(ISBLANK(V8),ISBLANK(X8)),"N/A",IF(ABS((X8-V8)/V8)&gt;0.25,"&gt; 25%","ok"))</f>
        <v>N/A</v>
      </c>
      <c r="BV8" s="98"/>
      <c r="BW8" s="98" t="str">
        <f t="shared" ref="BW8:BW27" si="8">IF(OR(ISBLANK(X8),ISBLANK(Z8)),"N/A",IF(ABS((Z8-X8)/X8)&gt;0.25,"&gt; 25%","ok"))</f>
        <v>N/A</v>
      </c>
      <c r="BX8" s="98"/>
      <c r="BY8" s="98" t="str">
        <f t="shared" ref="BY8:BY27" si="9">IF(OR(ISBLANK(Z8),ISBLANK(AB8)),"N/A",IF(ABS((AB8-Z8)/Z8)&gt;0.25,"&gt; 25%","ok"))</f>
        <v>N/A</v>
      </c>
      <c r="BZ8" s="98"/>
      <c r="CA8" s="98" t="str">
        <f t="shared" ref="CA8:CA27" si="10">IF(OR(ISBLANK(AB8),ISBLANK(AD8)),"N/A",IF(ABS((AD8-AB8)/AB8)&gt;0.25,"&gt; 25%","ok"))</f>
        <v>N/A</v>
      </c>
      <c r="CB8" s="98"/>
      <c r="CC8" s="98" t="str">
        <f t="shared" ref="CC8:CC27" si="11">IF(OR(ISBLANK(AD8),ISBLANK(AF8)),"N/A",IF(ABS((AF8-AD8)/AD8)&gt;0.25,"&gt; 25%","ok"))</f>
        <v>N/A</v>
      </c>
      <c r="CD8" s="98"/>
      <c r="CE8" s="98" t="str">
        <f t="shared" ref="CE8:CE27" si="12">IF(OR(ISBLANK(AF8),ISBLANK(AH8)),"N/A",IF(ABS((AH8-AF8)/AF8)&gt;0.25,"&gt; 25%","ok"))</f>
        <v>N/A</v>
      </c>
      <c r="CF8" s="98"/>
      <c r="CG8" s="98" t="str">
        <f t="shared" ref="CG8:CG27" si="13">IF(OR(ISBLANK(AH8),ISBLANK(AJ8)),"N/A",IF(ABS((AJ8-AH8)/AH8)&gt;0.25,"&gt; 25%","ok"))</f>
        <v>N/A</v>
      </c>
      <c r="CH8" s="98"/>
      <c r="CI8" s="98" t="str">
        <f t="shared" ref="CI8:CI27" si="14">IF(OR(ISBLANK(AJ8),ISBLANK(AL8)),"N/A",IF(ABS((AL8-AJ8)/AJ8)&gt;0.25,"&gt; 25%","ok"))</f>
        <v>N/A</v>
      </c>
      <c r="CJ8" s="98"/>
      <c r="CK8" s="98" t="str">
        <f t="shared" ref="CK8:CK27" si="15">IF(OR(ISBLANK(AL8),ISBLANK(AN8)),"N/A",IF(ABS((AN8-AL8)/AL8)&gt;0.25,"&gt; 25%","ok"))</f>
        <v>N/A</v>
      </c>
      <c r="CL8" s="98"/>
      <c r="CM8" s="98" t="str">
        <f t="shared" ref="CM8:CM27" si="16">IF(OR(ISBLANK(AN8),ISBLANK(AP8)),"N/A",IF(ABS((AP8-AN8)/AN8)&gt;0.25,"&gt; 25%","ok"))</f>
        <v>N/A</v>
      </c>
      <c r="CN8" s="98"/>
      <c r="CO8" s="98" t="str">
        <f t="shared" ref="CO8:CO27" si="17">IF(OR(ISBLANK(AP8),ISBLANK(AR8)),"N/A",IF(ABS((AR8-AP8)/AP8)&gt;0.25,"&gt; 25%","ok"))</f>
        <v>N/A</v>
      </c>
      <c r="CP8" s="98"/>
      <c r="CQ8" s="98" t="str">
        <f t="shared" ref="CQ8:CQ27" si="18">IF(OR(ISBLANK(AR8),ISBLANK(AT8)),"N/A",IF(ABS((AT8-AR8)/AR8)&gt;0.25,"&gt; 25%","ok"))</f>
        <v>N/A</v>
      </c>
      <c r="CR8" s="98"/>
      <c r="CS8" s="98" t="str">
        <f t="shared" ref="CS8:CS27" si="19">IF(OR(ISBLANK(AT8),ISBLANK(AV8)),"N/A",IF(ABS((AV8-AT8)/AT8)&gt;0.25,"&gt; 25%","ok"))</f>
        <v>N/A</v>
      </c>
      <c r="CT8" s="98"/>
      <c r="CU8" s="674"/>
      <c r="CV8" s="98"/>
      <c r="CW8" s="98"/>
    </row>
    <row r="9" spans="1:101" ht="32.25" customHeight="1" x14ac:dyDescent="0.2">
      <c r="B9" s="486">
        <v>85</v>
      </c>
      <c r="C9" s="385">
        <v>2</v>
      </c>
      <c r="D9" s="487" t="s">
        <v>641</v>
      </c>
      <c r="E9" s="385" t="s">
        <v>200</v>
      </c>
      <c r="F9" s="544"/>
      <c r="G9" s="565"/>
      <c r="H9" s="544"/>
      <c r="I9" s="565"/>
      <c r="J9" s="544"/>
      <c r="K9" s="565"/>
      <c r="L9" s="544"/>
      <c r="M9" s="565"/>
      <c r="N9" s="544"/>
      <c r="O9" s="565"/>
      <c r="P9" s="544"/>
      <c r="Q9" s="565"/>
      <c r="R9" s="544"/>
      <c r="S9" s="565"/>
      <c r="T9" s="544"/>
      <c r="U9" s="565"/>
      <c r="V9" s="544"/>
      <c r="W9" s="565"/>
      <c r="X9" s="544"/>
      <c r="Y9" s="565"/>
      <c r="Z9" s="544"/>
      <c r="AA9" s="565"/>
      <c r="AB9" s="544"/>
      <c r="AC9" s="565"/>
      <c r="AD9" s="544"/>
      <c r="AE9" s="565"/>
      <c r="AF9" s="544"/>
      <c r="AG9" s="565"/>
      <c r="AH9" s="544"/>
      <c r="AI9" s="565"/>
      <c r="AJ9" s="544"/>
      <c r="AK9" s="565"/>
      <c r="AL9" s="544"/>
      <c r="AM9" s="565"/>
      <c r="AN9" s="544"/>
      <c r="AO9" s="565"/>
      <c r="AP9" s="544"/>
      <c r="AQ9" s="565"/>
      <c r="AR9" s="544"/>
      <c r="AS9" s="565"/>
      <c r="AT9" s="544"/>
      <c r="AU9" s="565"/>
      <c r="AV9" s="544"/>
      <c r="AW9" s="565"/>
      <c r="AZ9" s="81">
        <v>2</v>
      </c>
      <c r="BA9" s="456" t="s">
        <v>587</v>
      </c>
      <c r="BB9" s="81" t="s">
        <v>586</v>
      </c>
      <c r="BC9" s="114" t="s">
        <v>457</v>
      </c>
      <c r="BD9" s="113"/>
      <c r="BE9" s="98" t="str">
        <f t="shared" si="0"/>
        <v>N/A</v>
      </c>
      <c r="BF9" s="112"/>
      <c r="BG9" s="98" t="str">
        <f t="shared" ref="BG9:BG27" si="20">IF(OR(ISBLANK(H9),ISBLANK(J9)),"N/A",IF(ABS((J9-H9)/H9)&gt;1,"&gt; 100%","ok"))</f>
        <v>N/A</v>
      </c>
      <c r="BH9" s="113"/>
      <c r="BI9" s="98" t="str">
        <f t="shared" si="1"/>
        <v>N/A</v>
      </c>
      <c r="BJ9" s="112"/>
      <c r="BK9" s="98" t="str">
        <f t="shared" si="2"/>
        <v>N/A</v>
      </c>
      <c r="BL9" s="81"/>
      <c r="BM9" s="98" t="str">
        <f t="shared" si="3"/>
        <v>N/A</v>
      </c>
      <c r="BN9" s="114"/>
      <c r="BO9" s="98" t="str">
        <f t="shared" si="4"/>
        <v>N/A</v>
      </c>
      <c r="BP9" s="112"/>
      <c r="BQ9" s="98" t="str">
        <f t="shared" si="5"/>
        <v>N/A</v>
      </c>
      <c r="BR9" s="81"/>
      <c r="BS9" s="98" t="str">
        <f t="shared" si="6"/>
        <v>N/A</v>
      </c>
      <c r="BT9" s="113"/>
      <c r="BU9" s="98" t="str">
        <f t="shared" si="7"/>
        <v>N/A</v>
      </c>
      <c r="BV9" s="112"/>
      <c r="BW9" s="98" t="str">
        <f t="shared" si="8"/>
        <v>N/A</v>
      </c>
      <c r="BX9" s="114"/>
      <c r="BY9" s="98" t="str">
        <f t="shared" si="9"/>
        <v>N/A</v>
      </c>
      <c r="BZ9" s="112"/>
      <c r="CA9" s="98" t="str">
        <f t="shared" si="10"/>
        <v>N/A</v>
      </c>
      <c r="CB9" s="81"/>
      <c r="CC9" s="98" t="str">
        <f t="shared" si="11"/>
        <v>N/A</v>
      </c>
      <c r="CD9" s="81"/>
      <c r="CE9" s="98" t="str">
        <f t="shared" si="12"/>
        <v>N/A</v>
      </c>
      <c r="CF9" s="81"/>
      <c r="CG9" s="98" t="str">
        <f t="shared" si="13"/>
        <v>N/A</v>
      </c>
      <c r="CH9" s="114"/>
      <c r="CI9" s="98" t="str">
        <f t="shared" si="14"/>
        <v>N/A</v>
      </c>
      <c r="CJ9" s="81"/>
      <c r="CK9" s="98" t="str">
        <f t="shared" si="15"/>
        <v>N/A</v>
      </c>
      <c r="CL9" s="114"/>
      <c r="CM9" s="98" t="str">
        <f t="shared" si="16"/>
        <v>N/A</v>
      </c>
      <c r="CN9" s="81"/>
      <c r="CO9" s="98" t="str">
        <f t="shared" si="17"/>
        <v>N/A</v>
      </c>
      <c r="CP9" s="81"/>
      <c r="CQ9" s="98" t="str">
        <f t="shared" si="18"/>
        <v>N/A</v>
      </c>
      <c r="CR9" s="81"/>
      <c r="CS9" s="98" t="str">
        <f t="shared" si="19"/>
        <v>N/A</v>
      </c>
      <c r="CT9" s="81"/>
      <c r="CU9" s="674"/>
      <c r="CV9" s="81"/>
      <c r="CW9" s="98"/>
    </row>
    <row r="10" spans="1:101" ht="32.25" customHeight="1" x14ac:dyDescent="0.2">
      <c r="B10" s="490">
        <v>140</v>
      </c>
      <c r="C10" s="385">
        <v>3</v>
      </c>
      <c r="D10" s="266" t="s">
        <v>642</v>
      </c>
      <c r="E10" s="385" t="s">
        <v>200</v>
      </c>
      <c r="F10" s="544"/>
      <c r="G10" s="565"/>
      <c r="H10" s="544"/>
      <c r="I10" s="565"/>
      <c r="J10" s="544"/>
      <c r="K10" s="565"/>
      <c r="L10" s="544"/>
      <c r="M10" s="565"/>
      <c r="N10" s="544"/>
      <c r="O10" s="565"/>
      <c r="P10" s="544"/>
      <c r="Q10" s="565"/>
      <c r="R10" s="544"/>
      <c r="S10" s="565"/>
      <c r="T10" s="544"/>
      <c r="U10" s="565"/>
      <c r="V10" s="544"/>
      <c r="W10" s="565"/>
      <c r="X10" s="544"/>
      <c r="Y10" s="565"/>
      <c r="Z10" s="544"/>
      <c r="AA10" s="565"/>
      <c r="AB10" s="544"/>
      <c r="AC10" s="565"/>
      <c r="AD10" s="544"/>
      <c r="AE10" s="565"/>
      <c r="AF10" s="544"/>
      <c r="AG10" s="565"/>
      <c r="AH10" s="544"/>
      <c r="AI10" s="565"/>
      <c r="AJ10" s="544"/>
      <c r="AK10" s="565"/>
      <c r="AL10" s="544"/>
      <c r="AM10" s="565"/>
      <c r="AN10" s="544"/>
      <c r="AO10" s="565"/>
      <c r="AP10" s="544"/>
      <c r="AQ10" s="565"/>
      <c r="AR10" s="544"/>
      <c r="AS10" s="565"/>
      <c r="AT10" s="544"/>
      <c r="AU10" s="565"/>
      <c r="AV10" s="544"/>
      <c r="AW10" s="565"/>
      <c r="AZ10" s="81">
        <v>3</v>
      </c>
      <c r="BA10" s="456" t="s">
        <v>570</v>
      </c>
      <c r="BB10" s="81" t="s">
        <v>586</v>
      </c>
      <c r="BC10" s="114"/>
      <c r="BD10" s="113"/>
      <c r="BE10" s="98" t="str">
        <f t="shared" si="0"/>
        <v>N/A</v>
      </c>
      <c r="BF10" s="112"/>
      <c r="BG10" s="98" t="str">
        <f t="shared" si="20"/>
        <v>N/A</v>
      </c>
      <c r="BH10" s="113"/>
      <c r="BI10" s="98" t="str">
        <f t="shared" si="1"/>
        <v>N/A</v>
      </c>
      <c r="BJ10" s="112"/>
      <c r="BK10" s="98" t="str">
        <f t="shared" si="2"/>
        <v>N/A</v>
      </c>
      <c r="BL10" s="81"/>
      <c r="BM10" s="98" t="str">
        <f t="shared" si="3"/>
        <v>N/A</v>
      </c>
      <c r="BN10" s="114"/>
      <c r="BO10" s="98" t="str">
        <f t="shared" si="4"/>
        <v>N/A</v>
      </c>
      <c r="BP10" s="112"/>
      <c r="BQ10" s="98" t="str">
        <f t="shared" si="5"/>
        <v>N/A</v>
      </c>
      <c r="BR10" s="81"/>
      <c r="BS10" s="98" t="str">
        <f t="shared" si="6"/>
        <v>N/A</v>
      </c>
      <c r="BT10" s="113"/>
      <c r="BU10" s="98" t="str">
        <f t="shared" si="7"/>
        <v>N/A</v>
      </c>
      <c r="BV10" s="112"/>
      <c r="BW10" s="98" t="str">
        <f t="shared" si="8"/>
        <v>N/A</v>
      </c>
      <c r="BX10" s="114"/>
      <c r="BY10" s="98" t="str">
        <f t="shared" si="9"/>
        <v>N/A</v>
      </c>
      <c r="BZ10" s="112"/>
      <c r="CA10" s="98" t="str">
        <f t="shared" si="10"/>
        <v>N/A</v>
      </c>
      <c r="CB10" s="81"/>
      <c r="CC10" s="98" t="str">
        <f t="shared" si="11"/>
        <v>N/A</v>
      </c>
      <c r="CD10" s="81"/>
      <c r="CE10" s="98" t="str">
        <f t="shared" si="12"/>
        <v>N/A</v>
      </c>
      <c r="CF10" s="81"/>
      <c r="CG10" s="98" t="str">
        <f t="shared" si="13"/>
        <v>N/A</v>
      </c>
      <c r="CH10" s="114"/>
      <c r="CI10" s="98" t="str">
        <f t="shared" si="14"/>
        <v>N/A</v>
      </c>
      <c r="CJ10" s="81"/>
      <c r="CK10" s="98" t="str">
        <f t="shared" si="15"/>
        <v>N/A</v>
      </c>
      <c r="CL10" s="114"/>
      <c r="CM10" s="98" t="str">
        <f t="shared" si="16"/>
        <v>N/A</v>
      </c>
      <c r="CN10" s="81"/>
      <c r="CO10" s="98" t="str">
        <f t="shared" si="17"/>
        <v>N/A</v>
      </c>
      <c r="CP10" s="81"/>
      <c r="CQ10" s="98" t="str">
        <f t="shared" si="18"/>
        <v>N/A</v>
      </c>
      <c r="CR10" s="81"/>
      <c r="CS10" s="98" t="str">
        <f t="shared" si="19"/>
        <v>N/A</v>
      </c>
      <c r="CT10" s="81"/>
      <c r="CU10" s="674"/>
      <c r="CV10" s="81"/>
      <c r="CW10" s="98"/>
    </row>
    <row r="11" spans="1:101" ht="18.95" customHeight="1" x14ac:dyDescent="0.2">
      <c r="B11" s="249">
        <v>155</v>
      </c>
      <c r="C11" s="385">
        <v>4</v>
      </c>
      <c r="D11" s="266" t="s">
        <v>55</v>
      </c>
      <c r="E11" s="385" t="s">
        <v>200</v>
      </c>
      <c r="F11" s="544"/>
      <c r="G11" s="565"/>
      <c r="H11" s="544"/>
      <c r="I11" s="565"/>
      <c r="J11" s="544"/>
      <c r="K11" s="565"/>
      <c r="L11" s="544"/>
      <c r="M11" s="565"/>
      <c r="N11" s="544"/>
      <c r="O11" s="565"/>
      <c r="P11" s="544"/>
      <c r="Q11" s="565"/>
      <c r="R11" s="544"/>
      <c r="S11" s="565"/>
      <c r="T11" s="544"/>
      <c r="U11" s="565"/>
      <c r="V11" s="544"/>
      <c r="W11" s="565"/>
      <c r="X11" s="544"/>
      <c r="Y11" s="565"/>
      <c r="Z11" s="544"/>
      <c r="AA11" s="565"/>
      <c r="AB11" s="544"/>
      <c r="AC11" s="565"/>
      <c r="AD11" s="544"/>
      <c r="AE11" s="565"/>
      <c r="AF11" s="544"/>
      <c r="AG11" s="565"/>
      <c r="AH11" s="544"/>
      <c r="AI11" s="565"/>
      <c r="AJ11" s="544"/>
      <c r="AK11" s="565"/>
      <c r="AL11" s="544"/>
      <c r="AM11" s="565"/>
      <c r="AN11" s="544"/>
      <c r="AO11" s="565"/>
      <c r="AP11" s="544"/>
      <c r="AQ11" s="565"/>
      <c r="AR11" s="544"/>
      <c r="AS11" s="565"/>
      <c r="AT11" s="544"/>
      <c r="AU11" s="565"/>
      <c r="AV11" s="544"/>
      <c r="AW11" s="565"/>
      <c r="AZ11" s="81">
        <v>4</v>
      </c>
      <c r="BA11" s="456" t="s">
        <v>367</v>
      </c>
      <c r="BB11" s="81" t="s">
        <v>586</v>
      </c>
      <c r="BC11" s="114" t="s">
        <v>457</v>
      </c>
      <c r="BD11" s="113"/>
      <c r="BE11" s="98" t="str">
        <f t="shared" si="0"/>
        <v>N/A</v>
      </c>
      <c r="BF11" s="112"/>
      <c r="BG11" s="98" t="str">
        <f t="shared" si="20"/>
        <v>N/A</v>
      </c>
      <c r="BH11" s="113"/>
      <c r="BI11" s="98" t="str">
        <f t="shared" si="1"/>
        <v>N/A</v>
      </c>
      <c r="BJ11" s="112"/>
      <c r="BK11" s="98" t="str">
        <f t="shared" si="2"/>
        <v>N/A</v>
      </c>
      <c r="BL11" s="81"/>
      <c r="BM11" s="98" t="str">
        <f t="shared" si="3"/>
        <v>N/A</v>
      </c>
      <c r="BN11" s="114"/>
      <c r="BO11" s="98" t="str">
        <f t="shared" si="4"/>
        <v>N/A</v>
      </c>
      <c r="BP11" s="112"/>
      <c r="BQ11" s="98" t="str">
        <f t="shared" si="5"/>
        <v>N/A</v>
      </c>
      <c r="BR11" s="81"/>
      <c r="BS11" s="98" t="str">
        <f t="shared" si="6"/>
        <v>N/A</v>
      </c>
      <c r="BT11" s="113"/>
      <c r="BU11" s="98" t="str">
        <f t="shared" si="7"/>
        <v>N/A</v>
      </c>
      <c r="BV11" s="112"/>
      <c r="BW11" s="98" t="str">
        <f t="shared" si="8"/>
        <v>N/A</v>
      </c>
      <c r="BX11" s="114"/>
      <c r="BY11" s="98" t="str">
        <f t="shared" si="9"/>
        <v>N/A</v>
      </c>
      <c r="BZ11" s="112"/>
      <c r="CA11" s="98" t="str">
        <f t="shared" si="10"/>
        <v>N/A</v>
      </c>
      <c r="CB11" s="81"/>
      <c r="CC11" s="98" t="str">
        <f t="shared" si="11"/>
        <v>N/A</v>
      </c>
      <c r="CD11" s="81"/>
      <c r="CE11" s="98" t="str">
        <f t="shared" si="12"/>
        <v>N/A</v>
      </c>
      <c r="CF11" s="81"/>
      <c r="CG11" s="98" t="str">
        <f t="shared" si="13"/>
        <v>N/A</v>
      </c>
      <c r="CH11" s="114"/>
      <c r="CI11" s="98" t="str">
        <f t="shared" si="14"/>
        <v>N/A</v>
      </c>
      <c r="CJ11" s="81"/>
      <c r="CK11" s="98" t="str">
        <f t="shared" si="15"/>
        <v>N/A</v>
      </c>
      <c r="CL11" s="114"/>
      <c r="CM11" s="98" t="str">
        <f t="shared" si="16"/>
        <v>N/A</v>
      </c>
      <c r="CN11" s="81"/>
      <c r="CO11" s="98" t="str">
        <f t="shared" si="17"/>
        <v>N/A</v>
      </c>
      <c r="CP11" s="81"/>
      <c r="CQ11" s="98" t="str">
        <f t="shared" si="18"/>
        <v>N/A</v>
      </c>
      <c r="CR11" s="81"/>
      <c r="CS11" s="98" t="str">
        <f t="shared" si="19"/>
        <v>N/A</v>
      </c>
      <c r="CT11" s="81"/>
      <c r="CU11" s="674"/>
      <c r="CV11" s="81"/>
      <c r="CW11" s="98"/>
    </row>
    <row r="12" spans="1:101" ht="22.35" customHeight="1" x14ac:dyDescent="0.2">
      <c r="B12" s="249">
        <v>142</v>
      </c>
      <c r="C12" s="385">
        <v>5</v>
      </c>
      <c r="D12" s="652" t="s">
        <v>643</v>
      </c>
      <c r="E12" s="385" t="s">
        <v>200</v>
      </c>
      <c r="F12" s="544"/>
      <c r="G12" s="565"/>
      <c r="H12" s="544"/>
      <c r="I12" s="565"/>
      <c r="J12" s="544"/>
      <c r="K12" s="565"/>
      <c r="L12" s="544"/>
      <c r="M12" s="565"/>
      <c r="N12" s="544"/>
      <c r="O12" s="565"/>
      <c r="P12" s="544"/>
      <c r="Q12" s="565"/>
      <c r="R12" s="544"/>
      <c r="S12" s="565"/>
      <c r="T12" s="544"/>
      <c r="U12" s="565"/>
      <c r="V12" s="544"/>
      <c r="W12" s="565"/>
      <c r="X12" s="544"/>
      <c r="Y12" s="565"/>
      <c r="Z12" s="544"/>
      <c r="AA12" s="565"/>
      <c r="AB12" s="544"/>
      <c r="AC12" s="565"/>
      <c r="AD12" s="544"/>
      <c r="AE12" s="565"/>
      <c r="AF12" s="544"/>
      <c r="AG12" s="565"/>
      <c r="AH12" s="544"/>
      <c r="AI12" s="565"/>
      <c r="AJ12" s="544"/>
      <c r="AK12" s="565"/>
      <c r="AL12" s="544"/>
      <c r="AM12" s="565"/>
      <c r="AN12" s="544"/>
      <c r="AO12" s="565"/>
      <c r="AP12" s="544"/>
      <c r="AQ12" s="565"/>
      <c r="AR12" s="544"/>
      <c r="AS12" s="565"/>
      <c r="AT12" s="544"/>
      <c r="AU12" s="565"/>
      <c r="AV12" s="544"/>
      <c r="AW12" s="565"/>
      <c r="AZ12" s="81">
        <v>5</v>
      </c>
      <c r="BA12" s="456" t="s">
        <v>580</v>
      </c>
      <c r="BB12" s="81" t="s">
        <v>586</v>
      </c>
      <c r="BC12" s="114"/>
      <c r="BD12" s="113"/>
      <c r="BE12" s="98" t="str">
        <f t="shared" si="0"/>
        <v>N/A</v>
      </c>
      <c r="BF12" s="112"/>
      <c r="BG12" s="98" t="str">
        <f t="shared" si="20"/>
        <v>N/A</v>
      </c>
      <c r="BH12" s="113"/>
      <c r="BI12" s="98" t="str">
        <f t="shared" si="1"/>
        <v>N/A</v>
      </c>
      <c r="BJ12" s="112"/>
      <c r="BK12" s="98" t="str">
        <f t="shared" si="2"/>
        <v>N/A</v>
      </c>
      <c r="BL12" s="81"/>
      <c r="BM12" s="98" t="str">
        <f t="shared" si="3"/>
        <v>N/A</v>
      </c>
      <c r="BN12" s="114"/>
      <c r="BO12" s="98" t="str">
        <f t="shared" si="4"/>
        <v>N/A</v>
      </c>
      <c r="BP12" s="112"/>
      <c r="BQ12" s="98" t="str">
        <f t="shared" si="5"/>
        <v>N/A</v>
      </c>
      <c r="BR12" s="81"/>
      <c r="BS12" s="98" t="str">
        <f t="shared" si="6"/>
        <v>N/A</v>
      </c>
      <c r="BT12" s="113"/>
      <c r="BU12" s="98" t="str">
        <f t="shared" si="7"/>
        <v>N/A</v>
      </c>
      <c r="BV12" s="112"/>
      <c r="BW12" s="98" t="str">
        <f t="shared" si="8"/>
        <v>N/A</v>
      </c>
      <c r="BX12" s="114"/>
      <c r="BY12" s="98" t="str">
        <f t="shared" si="9"/>
        <v>N/A</v>
      </c>
      <c r="BZ12" s="112"/>
      <c r="CA12" s="98" t="str">
        <f t="shared" si="10"/>
        <v>N/A</v>
      </c>
      <c r="CB12" s="81"/>
      <c r="CC12" s="98" t="str">
        <f t="shared" si="11"/>
        <v>N/A</v>
      </c>
      <c r="CD12" s="81"/>
      <c r="CE12" s="98" t="str">
        <f t="shared" si="12"/>
        <v>N/A</v>
      </c>
      <c r="CF12" s="81"/>
      <c r="CG12" s="98" t="str">
        <f t="shared" si="13"/>
        <v>N/A</v>
      </c>
      <c r="CH12" s="114"/>
      <c r="CI12" s="98" t="str">
        <f t="shared" si="14"/>
        <v>N/A</v>
      </c>
      <c r="CJ12" s="81"/>
      <c r="CK12" s="98" t="str">
        <f t="shared" si="15"/>
        <v>N/A</v>
      </c>
      <c r="CL12" s="114"/>
      <c r="CM12" s="98" t="str">
        <f t="shared" si="16"/>
        <v>N/A</v>
      </c>
      <c r="CN12" s="81"/>
      <c r="CO12" s="98" t="str">
        <f t="shared" si="17"/>
        <v>N/A</v>
      </c>
      <c r="CP12" s="81"/>
      <c r="CQ12" s="98" t="str">
        <f t="shared" si="18"/>
        <v>N/A</v>
      </c>
      <c r="CR12" s="81"/>
      <c r="CS12" s="98" t="str">
        <f t="shared" si="19"/>
        <v>N/A</v>
      </c>
      <c r="CT12" s="81"/>
      <c r="CU12" s="674"/>
      <c r="CV12" s="81"/>
      <c r="CW12" s="98"/>
    </row>
    <row r="13" spans="1:101" ht="23.1" customHeight="1" x14ac:dyDescent="0.2">
      <c r="B13" s="249">
        <v>156</v>
      </c>
      <c r="C13" s="385">
        <v>6</v>
      </c>
      <c r="D13" s="266" t="s">
        <v>644</v>
      </c>
      <c r="E13" s="385" t="s">
        <v>200</v>
      </c>
      <c r="F13" s="544"/>
      <c r="G13" s="565"/>
      <c r="H13" s="544"/>
      <c r="I13" s="565"/>
      <c r="J13" s="544"/>
      <c r="K13" s="565"/>
      <c r="L13" s="544"/>
      <c r="M13" s="565"/>
      <c r="N13" s="544"/>
      <c r="O13" s="565"/>
      <c r="P13" s="544"/>
      <c r="Q13" s="565"/>
      <c r="R13" s="544"/>
      <c r="S13" s="565"/>
      <c r="T13" s="544"/>
      <c r="U13" s="565"/>
      <c r="V13" s="544"/>
      <c r="W13" s="565"/>
      <c r="X13" s="544"/>
      <c r="Y13" s="565"/>
      <c r="Z13" s="544"/>
      <c r="AA13" s="565"/>
      <c r="AB13" s="544"/>
      <c r="AC13" s="565"/>
      <c r="AD13" s="544"/>
      <c r="AE13" s="565"/>
      <c r="AF13" s="544"/>
      <c r="AG13" s="565"/>
      <c r="AH13" s="544"/>
      <c r="AI13" s="565"/>
      <c r="AJ13" s="544"/>
      <c r="AK13" s="565"/>
      <c r="AL13" s="544"/>
      <c r="AM13" s="565"/>
      <c r="AN13" s="544"/>
      <c r="AO13" s="565"/>
      <c r="AP13" s="544"/>
      <c r="AQ13" s="565"/>
      <c r="AR13" s="544"/>
      <c r="AS13" s="565"/>
      <c r="AT13" s="544"/>
      <c r="AU13" s="565"/>
      <c r="AV13" s="544"/>
      <c r="AW13" s="565"/>
      <c r="AZ13" s="81">
        <v>6</v>
      </c>
      <c r="BA13" s="456" t="s">
        <v>588</v>
      </c>
      <c r="BB13" s="81" t="s">
        <v>586</v>
      </c>
      <c r="BC13" s="114" t="s">
        <v>457</v>
      </c>
      <c r="BD13" s="113"/>
      <c r="BE13" s="98" t="str">
        <f t="shared" si="0"/>
        <v>N/A</v>
      </c>
      <c r="BF13" s="112"/>
      <c r="BG13" s="98" t="str">
        <f t="shared" si="20"/>
        <v>N/A</v>
      </c>
      <c r="BH13" s="113"/>
      <c r="BI13" s="98" t="str">
        <f t="shared" si="1"/>
        <v>N/A</v>
      </c>
      <c r="BJ13" s="112"/>
      <c r="BK13" s="98" t="str">
        <f t="shared" si="2"/>
        <v>N/A</v>
      </c>
      <c r="BL13" s="81"/>
      <c r="BM13" s="98" t="str">
        <f t="shared" si="3"/>
        <v>N/A</v>
      </c>
      <c r="BN13" s="114"/>
      <c r="BO13" s="98" t="str">
        <f t="shared" si="4"/>
        <v>N/A</v>
      </c>
      <c r="BP13" s="112"/>
      <c r="BQ13" s="98" t="str">
        <f t="shared" si="5"/>
        <v>N/A</v>
      </c>
      <c r="BR13" s="81"/>
      <c r="BS13" s="98" t="str">
        <f t="shared" si="6"/>
        <v>N/A</v>
      </c>
      <c r="BT13" s="113"/>
      <c r="BU13" s="98" t="str">
        <f t="shared" si="7"/>
        <v>N/A</v>
      </c>
      <c r="BV13" s="112"/>
      <c r="BW13" s="98" t="str">
        <f t="shared" si="8"/>
        <v>N/A</v>
      </c>
      <c r="BX13" s="114"/>
      <c r="BY13" s="98" t="str">
        <f t="shared" si="9"/>
        <v>N/A</v>
      </c>
      <c r="BZ13" s="112"/>
      <c r="CA13" s="98" t="str">
        <f t="shared" si="10"/>
        <v>N/A</v>
      </c>
      <c r="CB13" s="81"/>
      <c r="CC13" s="98" t="str">
        <f t="shared" si="11"/>
        <v>N/A</v>
      </c>
      <c r="CD13" s="81"/>
      <c r="CE13" s="98" t="str">
        <f t="shared" si="12"/>
        <v>N/A</v>
      </c>
      <c r="CF13" s="81"/>
      <c r="CG13" s="98" t="str">
        <f t="shared" si="13"/>
        <v>N/A</v>
      </c>
      <c r="CH13" s="114"/>
      <c r="CI13" s="98" t="str">
        <f t="shared" si="14"/>
        <v>N/A</v>
      </c>
      <c r="CJ13" s="81"/>
      <c r="CK13" s="98" t="str">
        <f t="shared" si="15"/>
        <v>N/A</v>
      </c>
      <c r="CL13" s="114"/>
      <c r="CM13" s="98" t="str">
        <f t="shared" si="16"/>
        <v>N/A</v>
      </c>
      <c r="CN13" s="81"/>
      <c r="CO13" s="98" t="str">
        <f t="shared" si="17"/>
        <v>N/A</v>
      </c>
      <c r="CP13" s="81"/>
      <c r="CQ13" s="98" t="str">
        <f t="shared" si="18"/>
        <v>N/A</v>
      </c>
      <c r="CR13" s="81"/>
      <c r="CS13" s="98" t="str">
        <f t="shared" si="19"/>
        <v>N/A</v>
      </c>
      <c r="CT13" s="81"/>
      <c r="CU13" s="674"/>
      <c r="CV13" s="81"/>
      <c r="CW13" s="98"/>
    </row>
    <row r="14" spans="1:101" ht="18.95" customHeight="1" x14ac:dyDescent="0.2">
      <c r="B14" s="249">
        <v>144</v>
      </c>
      <c r="C14" s="385">
        <v>7</v>
      </c>
      <c r="D14" s="653" t="s">
        <v>645</v>
      </c>
      <c r="E14" s="385" t="s">
        <v>200</v>
      </c>
      <c r="F14" s="544"/>
      <c r="G14" s="565"/>
      <c r="H14" s="544"/>
      <c r="I14" s="565"/>
      <c r="J14" s="544"/>
      <c r="K14" s="565"/>
      <c r="L14" s="544"/>
      <c r="M14" s="565"/>
      <c r="N14" s="544"/>
      <c r="O14" s="565"/>
      <c r="P14" s="544"/>
      <c r="Q14" s="565"/>
      <c r="R14" s="544"/>
      <c r="S14" s="565"/>
      <c r="T14" s="544"/>
      <c r="U14" s="565"/>
      <c r="V14" s="544"/>
      <c r="W14" s="565"/>
      <c r="X14" s="544"/>
      <c r="Y14" s="565"/>
      <c r="Z14" s="544"/>
      <c r="AA14" s="565"/>
      <c r="AB14" s="544"/>
      <c r="AC14" s="565"/>
      <c r="AD14" s="544"/>
      <c r="AE14" s="565"/>
      <c r="AF14" s="544"/>
      <c r="AG14" s="565"/>
      <c r="AH14" s="544"/>
      <c r="AI14" s="565"/>
      <c r="AJ14" s="544"/>
      <c r="AK14" s="565"/>
      <c r="AL14" s="544"/>
      <c r="AM14" s="565"/>
      <c r="AN14" s="544"/>
      <c r="AO14" s="565"/>
      <c r="AP14" s="544"/>
      <c r="AQ14" s="565"/>
      <c r="AR14" s="544"/>
      <c r="AS14" s="565"/>
      <c r="AT14" s="544"/>
      <c r="AU14" s="565"/>
      <c r="AV14" s="544"/>
      <c r="AW14" s="565"/>
      <c r="AZ14" s="81">
        <v>7</v>
      </c>
      <c r="BA14" s="456" t="s">
        <v>573</v>
      </c>
      <c r="BB14" s="81" t="s">
        <v>586</v>
      </c>
      <c r="BC14" s="114"/>
      <c r="BD14" s="113"/>
      <c r="BE14" s="98" t="str">
        <f t="shared" si="0"/>
        <v>N/A</v>
      </c>
      <c r="BF14" s="112"/>
      <c r="BG14" s="98" t="str">
        <f t="shared" si="20"/>
        <v>N/A</v>
      </c>
      <c r="BH14" s="113"/>
      <c r="BI14" s="98" t="str">
        <f t="shared" si="1"/>
        <v>N/A</v>
      </c>
      <c r="BJ14" s="112"/>
      <c r="BK14" s="98" t="str">
        <f t="shared" si="2"/>
        <v>N/A</v>
      </c>
      <c r="BL14" s="81"/>
      <c r="BM14" s="98" t="str">
        <f t="shared" si="3"/>
        <v>N/A</v>
      </c>
      <c r="BN14" s="114"/>
      <c r="BO14" s="98" t="str">
        <f t="shared" si="4"/>
        <v>N/A</v>
      </c>
      <c r="BP14" s="112"/>
      <c r="BQ14" s="98" t="str">
        <f t="shared" si="5"/>
        <v>N/A</v>
      </c>
      <c r="BR14" s="81"/>
      <c r="BS14" s="98" t="str">
        <f t="shared" si="6"/>
        <v>N/A</v>
      </c>
      <c r="BT14" s="113"/>
      <c r="BU14" s="98" t="str">
        <f t="shared" si="7"/>
        <v>N/A</v>
      </c>
      <c r="BV14" s="112"/>
      <c r="BW14" s="98" t="str">
        <f t="shared" si="8"/>
        <v>N/A</v>
      </c>
      <c r="BX14" s="114"/>
      <c r="BY14" s="98" t="str">
        <f t="shared" si="9"/>
        <v>N/A</v>
      </c>
      <c r="BZ14" s="112"/>
      <c r="CA14" s="98" t="str">
        <f t="shared" si="10"/>
        <v>N/A</v>
      </c>
      <c r="CB14" s="81"/>
      <c r="CC14" s="98" t="str">
        <f t="shared" si="11"/>
        <v>N/A</v>
      </c>
      <c r="CD14" s="81"/>
      <c r="CE14" s="98" t="str">
        <f t="shared" si="12"/>
        <v>N/A</v>
      </c>
      <c r="CF14" s="81"/>
      <c r="CG14" s="98" t="str">
        <f t="shared" si="13"/>
        <v>N/A</v>
      </c>
      <c r="CH14" s="114"/>
      <c r="CI14" s="98" t="str">
        <f t="shared" si="14"/>
        <v>N/A</v>
      </c>
      <c r="CJ14" s="81"/>
      <c r="CK14" s="98" t="str">
        <f t="shared" si="15"/>
        <v>N/A</v>
      </c>
      <c r="CL14" s="114"/>
      <c r="CM14" s="98" t="str">
        <f t="shared" si="16"/>
        <v>N/A</v>
      </c>
      <c r="CN14" s="81"/>
      <c r="CO14" s="98" t="str">
        <f t="shared" si="17"/>
        <v>N/A</v>
      </c>
      <c r="CP14" s="81"/>
      <c r="CQ14" s="98" t="str">
        <f t="shared" si="18"/>
        <v>N/A</v>
      </c>
      <c r="CR14" s="81"/>
      <c r="CS14" s="98" t="str">
        <f t="shared" si="19"/>
        <v>N/A</v>
      </c>
      <c r="CT14" s="81"/>
      <c r="CU14" s="674"/>
      <c r="CV14" s="81"/>
      <c r="CW14" s="98"/>
    </row>
    <row r="15" spans="1:101" ht="18.95" customHeight="1" x14ac:dyDescent="0.2">
      <c r="B15" s="249">
        <v>146</v>
      </c>
      <c r="C15" s="385">
        <v>8</v>
      </c>
      <c r="D15" s="266" t="s">
        <v>56</v>
      </c>
      <c r="E15" s="385" t="s">
        <v>200</v>
      </c>
      <c r="F15" s="544"/>
      <c r="G15" s="565"/>
      <c r="H15" s="544"/>
      <c r="I15" s="565"/>
      <c r="J15" s="544"/>
      <c r="K15" s="565"/>
      <c r="L15" s="544"/>
      <c r="M15" s="565"/>
      <c r="N15" s="544"/>
      <c r="O15" s="565"/>
      <c r="P15" s="544"/>
      <c r="Q15" s="565"/>
      <c r="R15" s="544"/>
      <c r="S15" s="565"/>
      <c r="T15" s="544"/>
      <c r="U15" s="565"/>
      <c r="V15" s="544"/>
      <c r="W15" s="565"/>
      <c r="X15" s="544"/>
      <c r="Y15" s="565"/>
      <c r="Z15" s="544"/>
      <c r="AA15" s="565"/>
      <c r="AB15" s="544"/>
      <c r="AC15" s="565"/>
      <c r="AD15" s="544"/>
      <c r="AE15" s="565"/>
      <c r="AF15" s="544"/>
      <c r="AG15" s="565"/>
      <c r="AH15" s="544"/>
      <c r="AI15" s="565"/>
      <c r="AJ15" s="544"/>
      <c r="AK15" s="565"/>
      <c r="AL15" s="544"/>
      <c r="AM15" s="565"/>
      <c r="AN15" s="544"/>
      <c r="AO15" s="565"/>
      <c r="AP15" s="544"/>
      <c r="AQ15" s="565"/>
      <c r="AR15" s="544"/>
      <c r="AS15" s="565"/>
      <c r="AT15" s="544"/>
      <c r="AU15" s="565"/>
      <c r="AV15" s="544"/>
      <c r="AW15" s="565"/>
      <c r="AZ15" s="81">
        <v>8</v>
      </c>
      <c r="BA15" s="456" t="s">
        <v>205</v>
      </c>
      <c r="BB15" s="81" t="s">
        <v>586</v>
      </c>
      <c r="BC15" s="114" t="s">
        <v>457</v>
      </c>
      <c r="BD15" s="113"/>
      <c r="BE15" s="98" t="str">
        <f t="shared" si="0"/>
        <v>N/A</v>
      </c>
      <c r="BF15" s="112"/>
      <c r="BG15" s="98" t="str">
        <f t="shared" si="20"/>
        <v>N/A</v>
      </c>
      <c r="BH15" s="113"/>
      <c r="BI15" s="98" t="str">
        <f t="shared" si="1"/>
        <v>N/A</v>
      </c>
      <c r="BJ15" s="112"/>
      <c r="BK15" s="98" t="str">
        <f t="shared" si="2"/>
        <v>N/A</v>
      </c>
      <c r="BL15" s="81"/>
      <c r="BM15" s="98" t="str">
        <f t="shared" si="3"/>
        <v>N/A</v>
      </c>
      <c r="BN15" s="114"/>
      <c r="BO15" s="98" t="str">
        <f t="shared" si="4"/>
        <v>N/A</v>
      </c>
      <c r="BP15" s="112"/>
      <c r="BQ15" s="98" t="str">
        <f t="shared" si="5"/>
        <v>N/A</v>
      </c>
      <c r="BR15" s="81"/>
      <c r="BS15" s="98" t="str">
        <f t="shared" si="6"/>
        <v>N/A</v>
      </c>
      <c r="BT15" s="113"/>
      <c r="BU15" s="98" t="str">
        <f t="shared" si="7"/>
        <v>N/A</v>
      </c>
      <c r="BV15" s="112"/>
      <c r="BW15" s="98" t="str">
        <f t="shared" si="8"/>
        <v>N/A</v>
      </c>
      <c r="BX15" s="114"/>
      <c r="BY15" s="98" t="str">
        <f t="shared" si="9"/>
        <v>N/A</v>
      </c>
      <c r="BZ15" s="112"/>
      <c r="CA15" s="98" t="str">
        <f t="shared" si="10"/>
        <v>N/A</v>
      </c>
      <c r="CB15" s="81"/>
      <c r="CC15" s="98" t="str">
        <f t="shared" si="11"/>
        <v>N/A</v>
      </c>
      <c r="CD15" s="81"/>
      <c r="CE15" s="98" t="str">
        <f t="shared" si="12"/>
        <v>N/A</v>
      </c>
      <c r="CF15" s="81"/>
      <c r="CG15" s="98" t="str">
        <f t="shared" si="13"/>
        <v>N/A</v>
      </c>
      <c r="CH15" s="114"/>
      <c r="CI15" s="98" t="str">
        <f t="shared" si="14"/>
        <v>N/A</v>
      </c>
      <c r="CJ15" s="81"/>
      <c r="CK15" s="98" t="str">
        <f t="shared" si="15"/>
        <v>N/A</v>
      </c>
      <c r="CL15" s="114"/>
      <c r="CM15" s="98" t="str">
        <f t="shared" si="16"/>
        <v>N/A</v>
      </c>
      <c r="CN15" s="81"/>
      <c r="CO15" s="98" t="str">
        <f t="shared" si="17"/>
        <v>N/A</v>
      </c>
      <c r="CP15" s="81"/>
      <c r="CQ15" s="98" t="str">
        <f t="shared" si="18"/>
        <v>N/A</v>
      </c>
      <c r="CR15" s="81"/>
      <c r="CS15" s="98" t="str">
        <f t="shared" si="19"/>
        <v>N/A</v>
      </c>
      <c r="CT15" s="81"/>
      <c r="CU15" s="674"/>
      <c r="CV15" s="81"/>
      <c r="CW15" s="98"/>
    </row>
    <row r="16" spans="1:101" ht="18.95" customHeight="1" x14ac:dyDescent="0.2">
      <c r="B16" s="249">
        <v>159</v>
      </c>
      <c r="C16" s="385">
        <v>9</v>
      </c>
      <c r="D16" s="266" t="s">
        <v>54</v>
      </c>
      <c r="E16" s="385" t="s">
        <v>200</v>
      </c>
      <c r="F16" s="544"/>
      <c r="G16" s="565"/>
      <c r="H16" s="544"/>
      <c r="I16" s="565"/>
      <c r="J16" s="544"/>
      <c r="K16" s="565"/>
      <c r="L16" s="544"/>
      <c r="M16" s="565"/>
      <c r="N16" s="544"/>
      <c r="O16" s="565"/>
      <c r="P16" s="544"/>
      <c r="Q16" s="565"/>
      <c r="R16" s="544"/>
      <c r="S16" s="565"/>
      <c r="T16" s="544"/>
      <c r="U16" s="565"/>
      <c r="V16" s="544"/>
      <c r="W16" s="565"/>
      <c r="X16" s="544">
        <v>88342</v>
      </c>
      <c r="Y16" s="565"/>
      <c r="Z16" s="544">
        <v>87990</v>
      </c>
      <c r="AA16" s="565"/>
      <c r="AB16" s="544">
        <v>87650</v>
      </c>
      <c r="AC16" s="565"/>
      <c r="AD16" s="544">
        <v>87440</v>
      </c>
      <c r="AE16" s="565"/>
      <c r="AF16" s="544">
        <v>88345</v>
      </c>
      <c r="AG16" s="565"/>
      <c r="AH16" s="544"/>
      <c r="AI16" s="565"/>
      <c r="AJ16" s="544"/>
      <c r="AK16" s="565"/>
      <c r="AL16" s="544"/>
      <c r="AM16" s="565"/>
      <c r="AN16" s="544"/>
      <c r="AO16" s="565"/>
      <c r="AP16" s="544"/>
      <c r="AQ16" s="565"/>
      <c r="AR16" s="544"/>
      <c r="AS16" s="565"/>
      <c r="AT16" s="544"/>
      <c r="AU16" s="565"/>
      <c r="AV16" s="544"/>
      <c r="AW16" s="565"/>
      <c r="AZ16" s="81">
        <v>9</v>
      </c>
      <c r="BA16" s="456" t="s">
        <v>204</v>
      </c>
      <c r="BB16" s="81" t="s">
        <v>586</v>
      </c>
      <c r="BC16" s="114" t="s">
        <v>457</v>
      </c>
      <c r="BD16" s="113"/>
      <c r="BE16" s="98" t="str">
        <f t="shared" si="0"/>
        <v>N/A</v>
      </c>
      <c r="BF16" s="112"/>
      <c r="BG16" s="98" t="str">
        <f t="shared" si="20"/>
        <v>N/A</v>
      </c>
      <c r="BH16" s="113"/>
      <c r="BI16" s="98" t="str">
        <f t="shared" si="1"/>
        <v>N/A</v>
      </c>
      <c r="BJ16" s="112"/>
      <c r="BK16" s="98" t="str">
        <f t="shared" si="2"/>
        <v>N/A</v>
      </c>
      <c r="BL16" s="81"/>
      <c r="BM16" s="98" t="str">
        <f t="shared" si="3"/>
        <v>N/A</v>
      </c>
      <c r="BN16" s="112"/>
      <c r="BO16" s="98" t="str">
        <f t="shared" si="4"/>
        <v>N/A</v>
      </c>
      <c r="BP16" s="81"/>
      <c r="BQ16" s="98" t="str">
        <f t="shared" si="5"/>
        <v>N/A</v>
      </c>
      <c r="BR16" s="113"/>
      <c r="BS16" s="98" t="str">
        <f t="shared" si="6"/>
        <v>N/A</v>
      </c>
      <c r="BT16" s="112"/>
      <c r="BU16" s="98" t="str">
        <f t="shared" si="7"/>
        <v>N/A</v>
      </c>
      <c r="BV16" s="81"/>
      <c r="BW16" s="98" t="str">
        <f t="shared" si="8"/>
        <v>ok</v>
      </c>
      <c r="BX16" s="113"/>
      <c r="BY16" s="98" t="str">
        <f t="shared" si="9"/>
        <v>ok</v>
      </c>
      <c r="BZ16" s="81"/>
      <c r="CA16" s="98" t="str">
        <f t="shared" si="10"/>
        <v>ok</v>
      </c>
      <c r="CB16" s="81"/>
      <c r="CC16" s="98" t="str">
        <f t="shared" si="11"/>
        <v>ok</v>
      </c>
      <c r="CD16" s="112"/>
      <c r="CE16" s="98" t="str">
        <f t="shared" si="12"/>
        <v>N/A</v>
      </c>
      <c r="CF16" s="112"/>
      <c r="CG16" s="98" t="str">
        <f t="shared" si="13"/>
        <v>N/A</v>
      </c>
      <c r="CH16" s="81"/>
      <c r="CI16" s="98" t="str">
        <f t="shared" si="14"/>
        <v>N/A</v>
      </c>
      <c r="CJ16" s="113"/>
      <c r="CK16" s="98" t="str">
        <f t="shared" si="15"/>
        <v>N/A</v>
      </c>
      <c r="CL16" s="81"/>
      <c r="CM16" s="98" t="str">
        <f t="shared" si="16"/>
        <v>N/A</v>
      </c>
      <c r="CN16" s="113"/>
      <c r="CO16" s="98" t="str">
        <f t="shared" si="17"/>
        <v>N/A</v>
      </c>
      <c r="CP16" s="113"/>
      <c r="CQ16" s="98" t="str">
        <f t="shared" si="18"/>
        <v>N/A</v>
      </c>
      <c r="CR16" s="113"/>
      <c r="CS16" s="98" t="str">
        <f t="shared" si="19"/>
        <v>N/A</v>
      </c>
      <c r="CT16" s="113"/>
      <c r="CU16" s="674"/>
      <c r="CV16" s="113"/>
      <c r="CW16" s="98"/>
    </row>
    <row r="17" spans="1:101" ht="18.95" customHeight="1" x14ac:dyDescent="0.2">
      <c r="B17" s="249">
        <v>89</v>
      </c>
      <c r="C17" s="385">
        <v>10</v>
      </c>
      <c r="D17" s="266" t="s">
        <v>491</v>
      </c>
      <c r="E17" s="385" t="s">
        <v>200</v>
      </c>
      <c r="F17" s="544"/>
      <c r="G17" s="565"/>
      <c r="H17" s="544"/>
      <c r="I17" s="565"/>
      <c r="J17" s="544"/>
      <c r="K17" s="565"/>
      <c r="L17" s="544"/>
      <c r="M17" s="565"/>
      <c r="N17" s="544"/>
      <c r="O17" s="565"/>
      <c r="P17" s="544"/>
      <c r="Q17" s="565"/>
      <c r="R17" s="544"/>
      <c r="S17" s="565"/>
      <c r="T17" s="544"/>
      <c r="U17" s="565"/>
      <c r="V17" s="544"/>
      <c r="W17" s="565"/>
      <c r="X17" s="544">
        <v>3975</v>
      </c>
      <c r="Y17" s="565"/>
      <c r="Z17" s="544">
        <v>3959</v>
      </c>
      <c r="AA17" s="565"/>
      <c r="AB17" s="544">
        <v>3944</v>
      </c>
      <c r="AC17" s="565"/>
      <c r="AD17" s="544">
        <v>3935</v>
      </c>
      <c r="AE17" s="565"/>
      <c r="AF17" s="544">
        <v>3979</v>
      </c>
      <c r="AG17" s="565"/>
      <c r="AH17" s="544"/>
      <c r="AI17" s="565"/>
      <c r="AJ17" s="544"/>
      <c r="AK17" s="565"/>
      <c r="AL17" s="544"/>
      <c r="AM17" s="565"/>
      <c r="AN17" s="544"/>
      <c r="AO17" s="565"/>
      <c r="AP17" s="544"/>
      <c r="AQ17" s="565"/>
      <c r="AR17" s="544"/>
      <c r="AS17" s="565"/>
      <c r="AT17" s="544"/>
      <c r="AU17" s="565"/>
      <c r="AV17" s="544"/>
      <c r="AW17" s="565"/>
      <c r="AZ17" s="81">
        <v>10</v>
      </c>
      <c r="BA17" s="261" t="s">
        <v>468</v>
      </c>
      <c r="BB17" s="81" t="s">
        <v>586</v>
      </c>
      <c r="BC17" s="114" t="s">
        <v>457</v>
      </c>
      <c r="BD17" s="113"/>
      <c r="BE17" s="98" t="str">
        <f t="shared" si="0"/>
        <v>N/A</v>
      </c>
      <c r="BF17" s="112"/>
      <c r="BG17" s="98" t="str">
        <f t="shared" si="20"/>
        <v>N/A</v>
      </c>
      <c r="BH17" s="113"/>
      <c r="BI17" s="98" t="str">
        <f t="shared" si="1"/>
        <v>N/A</v>
      </c>
      <c r="BJ17" s="112"/>
      <c r="BK17" s="98" t="str">
        <f t="shared" si="2"/>
        <v>N/A</v>
      </c>
      <c r="BL17" s="81"/>
      <c r="BM17" s="98" t="str">
        <f t="shared" si="3"/>
        <v>N/A</v>
      </c>
      <c r="BN17" s="112"/>
      <c r="BO17" s="98" t="str">
        <f t="shared" si="4"/>
        <v>N/A</v>
      </c>
      <c r="BP17" s="81"/>
      <c r="BQ17" s="98" t="str">
        <f t="shared" si="5"/>
        <v>N/A</v>
      </c>
      <c r="BR17" s="113"/>
      <c r="BS17" s="98" t="str">
        <f t="shared" si="6"/>
        <v>N/A</v>
      </c>
      <c r="BT17" s="112"/>
      <c r="BU17" s="98" t="str">
        <f t="shared" si="7"/>
        <v>N/A</v>
      </c>
      <c r="BV17" s="81"/>
      <c r="BW17" s="98" t="str">
        <f t="shared" si="8"/>
        <v>ok</v>
      </c>
      <c r="BX17" s="113"/>
      <c r="BY17" s="98" t="str">
        <f t="shared" si="9"/>
        <v>ok</v>
      </c>
      <c r="BZ17" s="81"/>
      <c r="CA17" s="98" t="str">
        <f t="shared" si="10"/>
        <v>ok</v>
      </c>
      <c r="CB17" s="81"/>
      <c r="CC17" s="98" t="str">
        <f t="shared" si="11"/>
        <v>ok</v>
      </c>
      <c r="CD17" s="112"/>
      <c r="CE17" s="98" t="str">
        <f t="shared" si="12"/>
        <v>N/A</v>
      </c>
      <c r="CF17" s="112"/>
      <c r="CG17" s="98" t="str">
        <f t="shared" si="13"/>
        <v>N/A</v>
      </c>
      <c r="CH17" s="81"/>
      <c r="CI17" s="98" t="str">
        <f t="shared" si="14"/>
        <v>N/A</v>
      </c>
      <c r="CJ17" s="113"/>
      <c r="CK17" s="98" t="str">
        <f t="shared" si="15"/>
        <v>N/A</v>
      </c>
      <c r="CL17" s="81"/>
      <c r="CM17" s="98" t="str">
        <f t="shared" si="16"/>
        <v>N/A</v>
      </c>
      <c r="CN17" s="113"/>
      <c r="CO17" s="98" t="str">
        <f t="shared" si="17"/>
        <v>N/A</v>
      </c>
      <c r="CP17" s="113"/>
      <c r="CQ17" s="98" t="str">
        <f t="shared" si="18"/>
        <v>N/A</v>
      </c>
      <c r="CR17" s="113"/>
      <c r="CS17" s="98" t="str">
        <f t="shared" si="19"/>
        <v>N/A</v>
      </c>
      <c r="CT17" s="113"/>
      <c r="CU17" s="674"/>
      <c r="CV17" s="113"/>
      <c r="CW17" s="98"/>
    </row>
    <row r="18" spans="1:101" ht="26.1" customHeight="1" x14ac:dyDescent="0.2">
      <c r="B18" s="249">
        <v>94</v>
      </c>
      <c r="C18" s="385">
        <v>11</v>
      </c>
      <c r="D18" s="487" t="s">
        <v>62</v>
      </c>
      <c r="E18" s="385" t="s">
        <v>200</v>
      </c>
      <c r="F18" s="544"/>
      <c r="G18" s="565"/>
      <c r="H18" s="544"/>
      <c r="I18" s="565"/>
      <c r="J18" s="544"/>
      <c r="K18" s="565"/>
      <c r="L18" s="544"/>
      <c r="M18" s="565"/>
      <c r="N18" s="544"/>
      <c r="O18" s="565"/>
      <c r="P18" s="544"/>
      <c r="Q18" s="565"/>
      <c r="R18" s="544"/>
      <c r="S18" s="565"/>
      <c r="T18" s="544"/>
      <c r="U18" s="565"/>
      <c r="V18" s="544"/>
      <c r="W18" s="565"/>
      <c r="X18" s="544"/>
      <c r="Y18" s="565"/>
      <c r="Z18" s="544"/>
      <c r="AA18" s="565"/>
      <c r="AB18" s="544"/>
      <c r="AC18" s="565"/>
      <c r="AD18" s="544"/>
      <c r="AE18" s="565"/>
      <c r="AF18" s="544"/>
      <c r="AG18" s="565"/>
      <c r="AH18" s="544"/>
      <c r="AI18" s="565"/>
      <c r="AJ18" s="544"/>
      <c r="AK18" s="565"/>
      <c r="AL18" s="544"/>
      <c r="AM18" s="565"/>
      <c r="AN18" s="544"/>
      <c r="AO18" s="565"/>
      <c r="AP18" s="544"/>
      <c r="AQ18" s="565"/>
      <c r="AR18" s="544"/>
      <c r="AS18" s="565"/>
      <c r="AT18" s="544"/>
      <c r="AU18" s="565"/>
      <c r="AV18" s="544"/>
      <c r="AW18" s="565"/>
      <c r="AZ18" s="81">
        <v>11</v>
      </c>
      <c r="BA18" s="456" t="s">
        <v>589</v>
      </c>
      <c r="BB18" s="81" t="s">
        <v>586</v>
      </c>
      <c r="BC18" s="114" t="s">
        <v>457</v>
      </c>
      <c r="BD18" s="113"/>
      <c r="BE18" s="98" t="str">
        <f t="shared" si="0"/>
        <v>N/A</v>
      </c>
      <c r="BF18" s="112"/>
      <c r="BG18" s="98" t="str">
        <f t="shared" si="20"/>
        <v>N/A</v>
      </c>
      <c r="BH18" s="113"/>
      <c r="BI18" s="98" t="str">
        <f t="shared" si="1"/>
        <v>N/A</v>
      </c>
      <c r="BJ18" s="112"/>
      <c r="BK18" s="98" t="str">
        <f t="shared" si="2"/>
        <v>N/A</v>
      </c>
      <c r="BL18" s="81"/>
      <c r="BM18" s="98" t="str">
        <f t="shared" si="3"/>
        <v>N/A</v>
      </c>
      <c r="BN18" s="112"/>
      <c r="BO18" s="98" t="str">
        <f t="shared" si="4"/>
        <v>N/A</v>
      </c>
      <c r="BP18" s="81"/>
      <c r="BQ18" s="98" t="str">
        <f t="shared" si="5"/>
        <v>N/A</v>
      </c>
      <c r="BR18" s="113"/>
      <c r="BS18" s="98" t="str">
        <f t="shared" si="6"/>
        <v>N/A</v>
      </c>
      <c r="BT18" s="112"/>
      <c r="BU18" s="98" t="str">
        <f t="shared" si="7"/>
        <v>N/A</v>
      </c>
      <c r="BV18" s="81"/>
      <c r="BW18" s="98" t="str">
        <f t="shared" si="8"/>
        <v>N/A</v>
      </c>
      <c r="BX18" s="113"/>
      <c r="BY18" s="98" t="str">
        <f t="shared" si="9"/>
        <v>N/A</v>
      </c>
      <c r="BZ18" s="81"/>
      <c r="CA18" s="98" t="str">
        <f t="shared" si="10"/>
        <v>N/A</v>
      </c>
      <c r="CB18" s="81"/>
      <c r="CC18" s="98" t="str">
        <f t="shared" si="11"/>
        <v>N/A</v>
      </c>
      <c r="CD18" s="112"/>
      <c r="CE18" s="98" t="str">
        <f t="shared" si="12"/>
        <v>N/A</v>
      </c>
      <c r="CF18" s="112"/>
      <c r="CG18" s="98" t="str">
        <f t="shared" si="13"/>
        <v>N/A</v>
      </c>
      <c r="CH18" s="81"/>
      <c r="CI18" s="98" t="str">
        <f t="shared" si="14"/>
        <v>N/A</v>
      </c>
      <c r="CJ18" s="113"/>
      <c r="CK18" s="98" t="str">
        <f t="shared" si="15"/>
        <v>N/A</v>
      </c>
      <c r="CL18" s="81"/>
      <c r="CM18" s="98" t="str">
        <f t="shared" si="16"/>
        <v>N/A</v>
      </c>
      <c r="CN18" s="113"/>
      <c r="CO18" s="98" t="str">
        <f t="shared" si="17"/>
        <v>N/A</v>
      </c>
      <c r="CP18" s="113"/>
      <c r="CQ18" s="98" t="str">
        <f t="shared" si="18"/>
        <v>N/A</v>
      </c>
      <c r="CR18" s="113"/>
      <c r="CS18" s="98" t="str">
        <f t="shared" si="19"/>
        <v>N/A</v>
      </c>
      <c r="CT18" s="113"/>
      <c r="CU18" s="674"/>
      <c r="CV18" s="113"/>
      <c r="CW18" s="98"/>
    </row>
    <row r="19" spans="1:101" ht="18.95" customHeight="1" x14ac:dyDescent="0.2">
      <c r="B19" s="249">
        <v>98</v>
      </c>
      <c r="C19" s="385">
        <v>12</v>
      </c>
      <c r="D19" s="453" t="s">
        <v>523</v>
      </c>
      <c r="E19" s="385" t="s">
        <v>200</v>
      </c>
      <c r="F19" s="544"/>
      <c r="G19" s="565"/>
      <c r="H19" s="544"/>
      <c r="I19" s="565"/>
      <c r="J19" s="544"/>
      <c r="K19" s="565"/>
      <c r="L19" s="544"/>
      <c r="M19" s="565"/>
      <c r="N19" s="544"/>
      <c r="O19" s="565"/>
      <c r="P19" s="544"/>
      <c r="Q19" s="565"/>
      <c r="R19" s="544"/>
      <c r="S19" s="565"/>
      <c r="T19" s="544"/>
      <c r="U19" s="565"/>
      <c r="V19" s="544"/>
      <c r="W19" s="565"/>
      <c r="X19" s="544">
        <v>3975</v>
      </c>
      <c r="Y19" s="565"/>
      <c r="Z19" s="544">
        <v>3959</v>
      </c>
      <c r="AA19" s="565"/>
      <c r="AB19" s="544">
        <v>3944</v>
      </c>
      <c r="AC19" s="565"/>
      <c r="AD19" s="544">
        <v>3935</v>
      </c>
      <c r="AE19" s="565"/>
      <c r="AF19" s="544">
        <v>3979</v>
      </c>
      <c r="AG19" s="565"/>
      <c r="AH19" s="544"/>
      <c r="AI19" s="565"/>
      <c r="AJ19" s="544"/>
      <c r="AK19" s="565"/>
      <c r="AL19" s="544"/>
      <c r="AM19" s="565"/>
      <c r="AN19" s="544"/>
      <c r="AO19" s="565"/>
      <c r="AP19" s="544"/>
      <c r="AQ19" s="565"/>
      <c r="AR19" s="544"/>
      <c r="AS19" s="565"/>
      <c r="AT19" s="544"/>
      <c r="AU19" s="565"/>
      <c r="AV19" s="544"/>
      <c r="AW19" s="565"/>
      <c r="AZ19" s="81">
        <v>12</v>
      </c>
      <c r="BA19" s="456" t="s">
        <v>461</v>
      </c>
      <c r="BB19" s="81" t="s">
        <v>586</v>
      </c>
      <c r="BC19" s="114" t="s">
        <v>457</v>
      </c>
      <c r="BD19" s="113"/>
      <c r="BE19" s="98" t="str">
        <f t="shared" si="0"/>
        <v>N/A</v>
      </c>
      <c r="BF19" s="112"/>
      <c r="BG19" s="98" t="str">
        <f t="shared" si="20"/>
        <v>N/A</v>
      </c>
      <c r="BH19" s="113"/>
      <c r="BI19" s="98" t="str">
        <f t="shared" si="1"/>
        <v>N/A</v>
      </c>
      <c r="BJ19" s="112"/>
      <c r="BK19" s="98" t="str">
        <f t="shared" si="2"/>
        <v>N/A</v>
      </c>
      <c r="BL19" s="81"/>
      <c r="BM19" s="98" t="str">
        <f t="shared" si="3"/>
        <v>N/A</v>
      </c>
      <c r="BN19" s="112"/>
      <c r="BO19" s="98" t="str">
        <f t="shared" si="4"/>
        <v>N/A</v>
      </c>
      <c r="BP19" s="81"/>
      <c r="BQ19" s="98" t="str">
        <f t="shared" si="5"/>
        <v>N/A</v>
      </c>
      <c r="BR19" s="113"/>
      <c r="BS19" s="98" t="str">
        <f t="shared" si="6"/>
        <v>N/A</v>
      </c>
      <c r="BT19" s="112"/>
      <c r="BU19" s="98" t="str">
        <f t="shared" si="7"/>
        <v>N/A</v>
      </c>
      <c r="BV19" s="81"/>
      <c r="BW19" s="98" t="str">
        <f t="shared" si="8"/>
        <v>ok</v>
      </c>
      <c r="BX19" s="113"/>
      <c r="BY19" s="98" t="str">
        <f t="shared" si="9"/>
        <v>ok</v>
      </c>
      <c r="BZ19" s="81"/>
      <c r="CA19" s="98" t="str">
        <f t="shared" si="10"/>
        <v>ok</v>
      </c>
      <c r="CB19" s="81"/>
      <c r="CC19" s="98" t="str">
        <f t="shared" si="11"/>
        <v>ok</v>
      </c>
      <c r="CD19" s="112"/>
      <c r="CE19" s="98" t="str">
        <f t="shared" si="12"/>
        <v>N/A</v>
      </c>
      <c r="CF19" s="112"/>
      <c r="CG19" s="98" t="str">
        <f t="shared" si="13"/>
        <v>N/A</v>
      </c>
      <c r="CH19" s="81"/>
      <c r="CI19" s="98" t="str">
        <f t="shared" si="14"/>
        <v>N/A</v>
      </c>
      <c r="CJ19" s="113"/>
      <c r="CK19" s="98" t="str">
        <f t="shared" si="15"/>
        <v>N/A</v>
      </c>
      <c r="CL19" s="81"/>
      <c r="CM19" s="98" t="str">
        <f t="shared" si="16"/>
        <v>N/A</v>
      </c>
      <c r="CN19" s="113"/>
      <c r="CO19" s="98" t="str">
        <f t="shared" si="17"/>
        <v>N/A</v>
      </c>
      <c r="CP19" s="113"/>
      <c r="CQ19" s="98" t="str">
        <f t="shared" si="18"/>
        <v>N/A</v>
      </c>
      <c r="CR19" s="113"/>
      <c r="CS19" s="98" t="str">
        <f t="shared" si="19"/>
        <v>N/A</v>
      </c>
      <c r="CT19" s="113"/>
      <c r="CU19" s="674"/>
      <c r="CV19" s="113"/>
      <c r="CW19" s="98"/>
    </row>
    <row r="20" spans="1:101" ht="18.95" customHeight="1" x14ac:dyDescent="0.2">
      <c r="B20" s="249">
        <v>102</v>
      </c>
      <c r="C20" s="385">
        <v>13</v>
      </c>
      <c r="D20" s="453" t="s">
        <v>524</v>
      </c>
      <c r="E20" s="385" t="s">
        <v>200</v>
      </c>
      <c r="F20" s="544"/>
      <c r="G20" s="565"/>
      <c r="H20" s="544"/>
      <c r="I20" s="565"/>
      <c r="J20" s="544"/>
      <c r="K20" s="565"/>
      <c r="L20" s="544"/>
      <c r="M20" s="565"/>
      <c r="N20" s="544"/>
      <c r="O20" s="565"/>
      <c r="P20" s="544"/>
      <c r="Q20" s="565"/>
      <c r="R20" s="544"/>
      <c r="S20" s="565"/>
      <c r="T20" s="544"/>
      <c r="U20" s="565"/>
      <c r="V20" s="544"/>
      <c r="W20" s="565"/>
      <c r="X20" s="544"/>
      <c r="Y20" s="565"/>
      <c r="Z20" s="544"/>
      <c r="AA20" s="565"/>
      <c r="AB20" s="544"/>
      <c r="AC20" s="565"/>
      <c r="AD20" s="544"/>
      <c r="AE20" s="565"/>
      <c r="AF20" s="544"/>
      <c r="AG20" s="565"/>
      <c r="AH20" s="544"/>
      <c r="AI20" s="565"/>
      <c r="AJ20" s="544"/>
      <c r="AK20" s="565"/>
      <c r="AL20" s="544"/>
      <c r="AM20" s="565"/>
      <c r="AN20" s="544"/>
      <c r="AO20" s="565"/>
      <c r="AP20" s="544"/>
      <c r="AQ20" s="565"/>
      <c r="AR20" s="544"/>
      <c r="AS20" s="565"/>
      <c r="AT20" s="544"/>
      <c r="AU20" s="565"/>
      <c r="AV20" s="544"/>
      <c r="AW20" s="565"/>
      <c r="AZ20" s="81">
        <v>13</v>
      </c>
      <c r="BA20" s="456" t="s">
        <v>462</v>
      </c>
      <c r="BB20" s="81" t="s">
        <v>586</v>
      </c>
      <c r="BC20" s="114" t="s">
        <v>457</v>
      </c>
      <c r="BD20" s="113"/>
      <c r="BE20" s="98" t="str">
        <f t="shared" si="0"/>
        <v>N/A</v>
      </c>
      <c r="BF20" s="112"/>
      <c r="BG20" s="98" t="str">
        <f t="shared" si="20"/>
        <v>N/A</v>
      </c>
      <c r="BH20" s="114"/>
      <c r="BI20" s="98" t="str">
        <f t="shared" si="1"/>
        <v>N/A</v>
      </c>
      <c r="BJ20" s="112"/>
      <c r="BK20" s="98" t="str">
        <f t="shared" si="2"/>
        <v>N/A</v>
      </c>
      <c r="BL20" s="81"/>
      <c r="BM20" s="98" t="str">
        <f t="shared" si="3"/>
        <v>N/A</v>
      </c>
      <c r="BN20" s="112"/>
      <c r="BO20" s="98" t="str">
        <f t="shared" si="4"/>
        <v>N/A</v>
      </c>
      <c r="BP20" s="81"/>
      <c r="BQ20" s="98" t="str">
        <f t="shared" si="5"/>
        <v>N/A</v>
      </c>
      <c r="BR20" s="113"/>
      <c r="BS20" s="98" t="str">
        <f t="shared" si="6"/>
        <v>N/A</v>
      </c>
      <c r="BT20" s="112"/>
      <c r="BU20" s="98" t="str">
        <f t="shared" si="7"/>
        <v>N/A</v>
      </c>
      <c r="BV20" s="81"/>
      <c r="BW20" s="98" t="str">
        <f t="shared" si="8"/>
        <v>N/A</v>
      </c>
      <c r="BX20" s="113"/>
      <c r="BY20" s="98" t="str">
        <f t="shared" si="9"/>
        <v>N/A</v>
      </c>
      <c r="BZ20" s="81"/>
      <c r="CA20" s="98" t="str">
        <f t="shared" si="10"/>
        <v>N/A</v>
      </c>
      <c r="CB20" s="81"/>
      <c r="CC20" s="98" t="str">
        <f t="shared" si="11"/>
        <v>N/A</v>
      </c>
      <c r="CD20" s="112"/>
      <c r="CE20" s="98" t="str">
        <f t="shared" si="12"/>
        <v>N/A</v>
      </c>
      <c r="CF20" s="112"/>
      <c r="CG20" s="98" t="str">
        <f t="shared" si="13"/>
        <v>N/A</v>
      </c>
      <c r="CH20" s="81"/>
      <c r="CI20" s="98" t="str">
        <f t="shared" si="14"/>
        <v>N/A</v>
      </c>
      <c r="CJ20" s="113"/>
      <c r="CK20" s="98" t="str">
        <f t="shared" si="15"/>
        <v>N/A</v>
      </c>
      <c r="CL20" s="81"/>
      <c r="CM20" s="98" t="str">
        <f t="shared" si="16"/>
        <v>N/A</v>
      </c>
      <c r="CN20" s="113"/>
      <c r="CO20" s="98" t="str">
        <f t="shared" si="17"/>
        <v>N/A</v>
      </c>
      <c r="CP20" s="113"/>
      <c r="CQ20" s="98" t="str">
        <f t="shared" si="18"/>
        <v>N/A</v>
      </c>
      <c r="CR20" s="113"/>
      <c r="CS20" s="98" t="str">
        <f t="shared" si="19"/>
        <v>N/A</v>
      </c>
      <c r="CT20" s="113"/>
      <c r="CU20" s="674"/>
      <c r="CV20" s="113"/>
      <c r="CW20" s="98"/>
    </row>
    <row r="21" spans="1:101" ht="26.1" customHeight="1" x14ac:dyDescent="0.2">
      <c r="B21" s="249">
        <v>109</v>
      </c>
      <c r="C21" s="385">
        <v>14</v>
      </c>
      <c r="D21" s="266" t="s">
        <v>525</v>
      </c>
      <c r="E21" s="385" t="s">
        <v>200</v>
      </c>
      <c r="F21" s="544"/>
      <c r="G21" s="565"/>
      <c r="H21" s="544"/>
      <c r="I21" s="565"/>
      <c r="J21" s="544"/>
      <c r="K21" s="565"/>
      <c r="L21" s="544"/>
      <c r="M21" s="565"/>
      <c r="N21" s="544"/>
      <c r="O21" s="565"/>
      <c r="P21" s="544"/>
      <c r="Q21" s="565"/>
      <c r="R21" s="544"/>
      <c r="S21" s="565"/>
      <c r="T21" s="544"/>
      <c r="U21" s="565"/>
      <c r="V21" s="544"/>
      <c r="W21" s="565"/>
      <c r="X21" s="544">
        <v>1325</v>
      </c>
      <c r="Y21" s="565"/>
      <c r="Z21" s="544">
        <v>1320</v>
      </c>
      <c r="AA21" s="565"/>
      <c r="AB21" s="544">
        <v>1315</v>
      </c>
      <c r="AC21" s="565"/>
      <c r="AD21" s="544">
        <v>1312</v>
      </c>
      <c r="AE21" s="565"/>
      <c r="AF21" s="544">
        <v>1326</v>
      </c>
      <c r="AG21" s="565"/>
      <c r="AH21" s="544"/>
      <c r="AI21" s="565"/>
      <c r="AJ21" s="544"/>
      <c r="AK21" s="565"/>
      <c r="AL21" s="544"/>
      <c r="AM21" s="565"/>
      <c r="AN21" s="544"/>
      <c r="AO21" s="565"/>
      <c r="AP21" s="544"/>
      <c r="AQ21" s="565"/>
      <c r="AR21" s="544"/>
      <c r="AS21" s="565"/>
      <c r="AT21" s="544"/>
      <c r="AU21" s="565"/>
      <c r="AV21" s="544"/>
      <c r="AW21" s="565"/>
      <c r="AZ21" s="81">
        <v>14</v>
      </c>
      <c r="BA21" s="261" t="s">
        <v>463</v>
      </c>
      <c r="BB21" s="81" t="s">
        <v>586</v>
      </c>
      <c r="BC21" s="114" t="s">
        <v>457</v>
      </c>
      <c r="BD21" s="113"/>
      <c r="BE21" s="98" t="str">
        <f t="shared" si="0"/>
        <v>N/A</v>
      </c>
      <c r="BF21" s="112"/>
      <c r="BG21" s="98" t="str">
        <f t="shared" si="20"/>
        <v>N/A</v>
      </c>
      <c r="BH21" s="114"/>
      <c r="BI21" s="98" t="str">
        <f t="shared" si="1"/>
        <v>N/A</v>
      </c>
      <c r="BJ21" s="81"/>
      <c r="BK21" s="98" t="str">
        <f t="shared" si="2"/>
        <v>N/A</v>
      </c>
      <c r="BL21" s="81"/>
      <c r="BM21" s="98" t="str">
        <f t="shared" si="3"/>
        <v>N/A</v>
      </c>
      <c r="BN21" s="112"/>
      <c r="BO21" s="98" t="str">
        <f t="shared" si="4"/>
        <v>N/A</v>
      </c>
      <c r="BP21" s="81"/>
      <c r="BQ21" s="98" t="str">
        <f t="shared" si="5"/>
        <v>N/A</v>
      </c>
      <c r="BR21" s="113"/>
      <c r="BS21" s="98" t="str">
        <f t="shared" si="6"/>
        <v>N/A</v>
      </c>
      <c r="BT21" s="112"/>
      <c r="BU21" s="98" t="str">
        <f t="shared" si="7"/>
        <v>N/A</v>
      </c>
      <c r="BV21" s="81"/>
      <c r="BW21" s="98" t="str">
        <f t="shared" si="8"/>
        <v>ok</v>
      </c>
      <c r="BX21" s="113"/>
      <c r="BY21" s="98" t="str">
        <f t="shared" si="9"/>
        <v>ok</v>
      </c>
      <c r="BZ21" s="81"/>
      <c r="CA21" s="98" t="str">
        <f t="shared" si="10"/>
        <v>ok</v>
      </c>
      <c r="CB21" s="81"/>
      <c r="CC21" s="98" t="str">
        <f t="shared" si="11"/>
        <v>ok</v>
      </c>
      <c r="CD21" s="112"/>
      <c r="CE21" s="98" t="str">
        <f t="shared" si="12"/>
        <v>N/A</v>
      </c>
      <c r="CF21" s="112"/>
      <c r="CG21" s="98" t="str">
        <f t="shared" si="13"/>
        <v>N/A</v>
      </c>
      <c r="CH21" s="81"/>
      <c r="CI21" s="98" t="str">
        <f t="shared" si="14"/>
        <v>N/A</v>
      </c>
      <c r="CJ21" s="113"/>
      <c r="CK21" s="98" t="str">
        <f t="shared" si="15"/>
        <v>N/A</v>
      </c>
      <c r="CL21" s="81"/>
      <c r="CM21" s="98" t="str">
        <f t="shared" si="16"/>
        <v>N/A</v>
      </c>
      <c r="CN21" s="113"/>
      <c r="CO21" s="98" t="str">
        <f t="shared" si="17"/>
        <v>N/A</v>
      </c>
      <c r="CP21" s="113"/>
      <c r="CQ21" s="98" t="str">
        <f t="shared" si="18"/>
        <v>N/A</v>
      </c>
      <c r="CR21" s="113"/>
      <c r="CS21" s="98" t="str">
        <f t="shared" si="19"/>
        <v>N/A</v>
      </c>
      <c r="CT21" s="113"/>
      <c r="CU21" s="674"/>
      <c r="CV21" s="113"/>
      <c r="CW21" s="98"/>
    </row>
    <row r="22" spans="1:101" ht="26.1" customHeight="1" x14ac:dyDescent="0.2">
      <c r="B22" s="249">
        <v>90</v>
      </c>
      <c r="C22" s="385">
        <v>15</v>
      </c>
      <c r="D22" s="487" t="s">
        <v>63</v>
      </c>
      <c r="E22" s="385" t="s">
        <v>200</v>
      </c>
      <c r="F22" s="544"/>
      <c r="G22" s="565"/>
      <c r="H22" s="544"/>
      <c r="I22" s="565"/>
      <c r="J22" s="544"/>
      <c r="K22" s="565"/>
      <c r="L22" s="544"/>
      <c r="M22" s="565"/>
      <c r="N22" s="544"/>
      <c r="O22" s="565"/>
      <c r="P22" s="544"/>
      <c r="Q22" s="565"/>
      <c r="R22" s="544"/>
      <c r="S22" s="565"/>
      <c r="T22" s="544"/>
      <c r="U22" s="565"/>
      <c r="V22" s="544"/>
      <c r="W22" s="565"/>
      <c r="X22" s="544"/>
      <c r="Y22" s="565"/>
      <c r="Z22" s="544"/>
      <c r="AA22" s="565"/>
      <c r="AB22" s="544"/>
      <c r="AC22" s="565"/>
      <c r="AD22" s="544"/>
      <c r="AE22" s="565"/>
      <c r="AF22" s="544"/>
      <c r="AG22" s="565"/>
      <c r="AH22" s="544"/>
      <c r="AI22" s="565"/>
      <c r="AJ22" s="544"/>
      <c r="AK22" s="565"/>
      <c r="AL22" s="544"/>
      <c r="AM22" s="565"/>
      <c r="AN22" s="544"/>
      <c r="AO22" s="565"/>
      <c r="AP22" s="544"/>
      <c r="AQ22" s="565"/>
      <c r="AR22" s="544"/>
      <c r="AS22" s="565"/>
      <c r="AT22" s="544"/>
      <c r="AU22" s="565"/>
      <c r="AV22" s="544"/>
      <c r="AW22" s="565"/>
      <c r="AZ22" s="81">
        <v>15</v>
      </c>
      <c r="BA22" s="456" t="s">
        <v>589</v>
      </c>
      <c r="BB22" s="81" t="s">
        <v>586</v>
      </c>
      <c r="BC22" s="81" t="s">
        <v>457</v>
      </c>
      <c r="BD22" s="114"/>
      <c r="BE22" s="98" t="str">
        <f t="shared" si="0"/>
        <v>N/A</v>
      </c>
      <c r="BF22" s="81"/>
      <c r="BG22" s="98" t="str">
        <f t="shared" si="20"/>
        <v>N/A</v>
      </c>
      <c r="BH22" s="81"/>
      <c r="BI22" s="98" t="str">
        <f t="shared" si="1"/>
        <v>N/A</v>
      </c>
      <c r="BJ22" s="81"/>
      <c r="BK22" s="98" t="str">
        <f t="shared" si="2"/>
        <v>N/A</v>
      </c>
      <c r="BL22" s="81"/>
      <c r="BM22" s="98" t="str">
        <f t="shared" si="3"/>
        <v>N/A</v>
      </c>
      <c r="BN22" s="112"/>
      <c r="BO22" s="98" t="str">
        <f t="shared" si="4"/>
        <v>N/A</v>
      </c>
      <c r="BP22" s="81"/>
      <c r="BQ22" s="98" t="str">
        <f t="shared" si="5"/>
        <v>N/A</v>
      </c>
      <c r="BR22" s="113"/>
      <c r="BS22" s="98" t="str">
        <f t="shared" si="6"/>
        <v>N/A</v>
      </c>
      <c r="BT22" s="112"/>
      <c r="BU22" s="98" t="str">
        <f t="shared" si="7"/>
        <v>N/A</v>
      </c>
      <c r="BV22" s="81"/>
      <c r="BW22" s="98" t="str">
        <f t="shared" si="8"/>
        <v>N/A</v>
      </c>
      <c r="BX22" s="113"/>
      <c r="BY22" s="98" t="str">
        <f t="shared" si="9"/>
        <v>N/A</v>
      </c>
      <c r="BZ22" s="81"/>
      <c r="CA22" s="98" t="str">
        <f t="shared" si="10"/>
        <v>N/A</v>
      </c>
      <c r="CB22" s="81"/>
      <c r="CC22" s="98" t="str">
        <f t="shared" si="11"/>
        <v>N/A</v>
      </c>
      <c r="CD22" s="112"/>
      <c r="CE22" s="98" t="str">
        <f t="shared" si="12"/>
        <v>N/A</v>
      </c>
      <c r="CF22" s="112"/>
      <c r="CG22" s="98" t="str">
        <f t="shared" si="13"/>
        <v>N/A</v>
      </c>
      <c r="CH22" s="81"/>
      <c r="CI22" s="98" t="str">
        <f t="shared" si="14"/>
        <v>N/A</v>
      </c>
      <c r="CJ22" s="113"/>
      <c r="CK22" s="98" t="str">
        <f t="shared" si="15"/>
        <v>N/A</v>
      </c>
      <c r="CL22" s="81"/>
      <c r="CM22" s="98" t="str">
        <f t="shared" si="16"/>
        <v>N/A</v>
      </c>
      <c r="CN22" s="113"/>
      <c r="CO22" s="98" t="str">
        <f t="shared" si="17"/>
        <v>N/A</v>
      </c>
      <c r="CP22" s="113"/>
      <c r="CQ22" s="98" t="str">
        <f t="shared" si="18"/>
        <v>N/A</v>
      </c>
      <c r="CR22" s="113"/>
      <c r="CS22" s="98" t="str">
        <f t="shared" si="19"/>
        <v>N/A</v>
      </c>
      <c r="CT22" s="113"/>
      <c r="CU22" s="674"/>
      <c r="CV22" s="113"/>
      <c r="CW22" s="98"/>
    </row>
    <row r="23" spans="1:101" ht="18.95" customHeight="1" x14ac:dyDescent="0.2">
      <c r="B23" s="249">
        <v>91</v>
      </c>
      <c r="C23" s="385">
        <v>16</v>
      </c>
      <c r="D23" s="453" t="s">
        <v>523</v>
      </c>
      <c r="E23" s="385" t="s">
        <v>200</v>
      </c>
      <c r="F23" s="544"/>
      <c r="G23" s="565"/>
      <c r="H23" s="544"/>
      <c r="I23" s="565"/>
      <c r="J23" s="544"/>
      <c r="K23" s="565"/>
      <c r="L23" s="544"/>
      <c r="M23" s="565"/>
      <c r="N23" s="544"/>
      <c r="O23" s="565"/>
      <c r="P23" s="544"/>
      <c r="Q23" s="565"/>
      <c r="R23" s="544"/>
      <c r="S23" s="565"/>
      <c r="T23" s="544"/>
      <c r="U23" s="565"/>
      <c r="V23" s="544"/>
      <c r="W23" s="565"/>
      <c r="X23" s="544"/>
      <c r="Y23" s="565"/>
      <c r="Z23" s="544"/>
      <c r="AA23" s="565"/>
      <c r="AB23" s="544"/>
      <c r="AC23" s="565"/>
      <c r="AD23" s="544"/>
      <c r="AE23" s="565"/>
      <c r="AF23" s="544"/>
      <c r="AG23" s="565"/>
      <c r="AH23" s="544"/>
      <c r="AI23" s="565"/>
      <c r="AJ23" s="544"/>
      <c r="AK23" s="565"/>
      <c r="AL23" s="544"/>
      <c r="AM23" s="565"/>
      <c r="AN23" s="544"/>
      <c r="AO23" s="565"/>
      <c r="AP23" s="544"/>
      <c r="AQ23" s="565"/>
      <c r="AR23" s="544"/>
      <c r="AS23" s="565"/>
      <c r="AT23" s="544"/>
      <c r="AU23" s="565"/>
      <c r="AV23" s="544"/>
      <c r="AW23" s="565"/>
      <c r="AZ23" s="81">
        <v>16</v>
      </c>
      <c r="BA23" s="456" t="s">
        <v>461</v>
      </c>
      <c r="BB23" s="81" t="s">
        <v>586</v>
      </c>
      <c r="BC23" s="81" t="s">
        <v>457</v>
      </c>
      <c r="BD23" s="114"/>
      <c r="BE23" s="98" t="str">
        <f t="shared" si="0"/>
        <v>N/A</v>
      </c>
      <c r="BF23" s="81"/>
      <c r="BG23" s="98" t="str">
        <f t="shared" si="20"/>
        <v>N/A</v>
      </c>
      <c r="BH23" s="81"/>
      <c r="BI23" s="98" t="str">
        <f t="shared" si="1"/>
        <v>N/A</v>
      </c>
      <c r="BJ23" s="81"/>
      <c r="BK23" s="98" t="str">
        <f t="shared" si="2"/>
        <v>N/A</v>
      </c>
      <c r="BL23" s="81"/>
      <c r="BM23" s="98" t="str">
        <f t="shared" si="3"/>
        <v>N/A</v>
      </c>
      <c r="BN23" s="112"/>
      <c r="BO23" s="98" t="str">
        <f t="shared" si="4"/>
        <v>N/A</v>
      </c>
      <c r="BP23" s="81"/>
      <c r="BQ23" s="98" t="str">
        <f t="shared" si="5"/>
        <v>N/A</v>
      </c>
      <c r="BR23" s="114"/>
      <c r="BS23" s="98" t="str">
        <f t="shared" si="6"/>
        <v>N/A</v>
      </c>
      <c r="BT23" s="112"/>
      <c r="BU23" s="98" t="str">
        <f t="shared" si="7"/>
        <v>N/A</v>
      </c>
      <c r="BV23" s="81"/>
      <c r="BW23" s="98" t="str">
        <f t="shared" si="8"/>
        <v>N/A</v>
      </c>
      <c r="BX23" s="114"/>
      <c r="BY23" s="98" t="str">
        <f t="shared" si="9"/>
        <v>N/A</v>
      </c>
      <c r="BZ23" s="81"/>
      <c r="CA23" s="98" t="str">
        <f t="shared" si="10"/>
        <v>N/A</v>
      </c>
      <c r="CB23" s="81"/>
      <c r="CC23" s="98" t="str">
        <f t="shared" si="11"/>
        <v>N/A</v>
      </c>
      <c r="CD23" s="112"/>
      <c r="CE23" s="98" t="str">
        <f t="shared" si="12"/>
        <v>N/A</v>
      </c>
      <c r="CF23" s="112"/>
      <c r="CG23" s="98" t="str">
        <f t="shared" si="13"/>
        <v>N/A</v>
      </c>
      <c r="CH23" s="81"/>
      <c r="CI23" s="98" t="str">
        <f t="shared" si="14"/>
        <v>N/A</v>
      </c>
      <c r="CJ23" s="114"/>
      <c r="CK23" s="98" t="str">
        <f t="shared" si="15"/>
        <v>N/A</v>
      </c>
      <c r="CL23" s="81"/>
      <c r="CM23" s="98" t="str">
        <f t="shared" si="16"/>
        <v>N/A</v>
      </c>
      <c r="CN23" s="114"/>
      <c r="CO23" s="98" t="str">
        <f t="shared" si="17"/>
        <v>N/A</v>
      </c>
      <c r="CP23" s="114"/>
      <c r="CQ23" s="98" t="str">
        <f t="shared" si="18"/>
        <v>N/A</v>
      </c>
      <c r="CR23" s="114"/>
      <c r="CS23" s="98" t="str">
        <f t="shared" si="19"/>
        <v>N/A</v>
      </c>
      <c r="CT23" s="114"/>
      <c r="CU23" s="674"/>
      <c r="CV23" s="114"/>
      <c r="CW23" s="98"/>
    </row>
    <row r="24" spans="1:101" ht="18.95" customHeight="1" x14ac:dyDescent="0.2">
      <c r="B24" s="249">
        <v>92</v>
      </c>
      <c r="C24" s="385">
        <v>17</v>
      </c>
      <c r="D24" s="453" t="s">
        <v>524</v>
      </c>
      <c r="E24" s="385" t="s">
        <v>200</v>
      </c>
      <c r="F24" s="544"/>
      <c r="G24" s="565"/>
      <c r="H24" s="544"/>
      <c r="I24" s="565"/>
      <c r="J24" s="544"/>
      <c r="K24" s="565"/>
      <c r="L24" s="544"/>
      <c r="M24" s="565"/>
      <c r="N24" s="544"/>
      <c r="O24" s="565"/>
      <c r="P24" s="544"/>
      <c r="Q24" s="565"/>
      <c r="R24" s="544"/>
      <c r="S24" s="565"/>
      <c r="T24" s="544"/>
      <c r="U24" s="565"/>
      <c r="V24" s="544"/>
      <c r="W24" s="565"/>
      <c r="X24" s="544"/>
      <c r="Y24" s="565"/>
      <c r="Z24" s="544"/>
      <c r="AA24" s="565"/>
      <c r="AB24" s="544"/>
      <c r="AC24" s="565"/>
      <c r="AD24" s="544"/>
      <c r="AE24" s="565"/>
      <c r="AF24" s="544"/>
      <c r="AG24" s="565"/>
      <c r="AH24" s="544"/>
      <c r="AI24" s="565"/>
      <c r="AJ24" s="544"/>
      <c r="AK24" s="565"/>
      <c r="AL24" s="544"/>
      <c r="AM24" s="565"/>
      <c r="AN24" s="544"/>
      <c r="AO24" s="565"/>
      <c r="AP24" s="544"/>
      <c r="AQ24" s="565"/>
      <c r="AR24" s="544"/>
      <c r="AS24" s="565"/>
      <c r="AT24" s="544"/>
      <c r="AU24" s="565"/>
      <c r="AV24" s="544"/>
      <c r="AW24" s="565"/>
      <c r="AZ24" s="81">
        <v>17</v>
      </c>
      <c r="BA24" s="456" t="s">
        <v>462</v>
      </c>
      <c r="BB24" s="81" t="s">
        <v>586</v>
      </c>
      <c r="BC24" s="81" t="s">
        <v>457</v>
      </c>
      <c r="BD24" s="114"/>
      <c r="BE24" s="98" t="str">
        <f t="shared" si="0"/>
        <v>N/A</v>
      </c>
      <c r="BF24" s="81"/>
      <c r="BG24" s="98" t="str">
        <f t="shared" si="20"/>
        <v>N/A</v>
      </c>
      <c r="BH24" s="81"/>
      <c r="BI24" s="98" t="str">
        <f t="shared" si="1"/>
        <v>N/A</v>
      </c>
      <c r="BJ24" s="81"/>
      <c r="BK24" s="98" t="str">
        <f t="shared" si="2"/>
        <v>N/A</v>
      </c>
      <c r="BL24" s="81"/>
      <c r="BM24" s="98" t="str">
        <f t="shared" si="3"/>
        <v>N/A</v>
      </c>
      <c r="BN24" s="112"/>
      <c r="BO24" s="98" t="str">
        <f t="shared" si="4"/>
        <v>N/A</v>
      </c>
      <c r="BP24" s="114"/>
      <c r="BQ24" s="98" t="str">
        <f t="shared" si="5"/>
        <v>N/A</v>
      </c>
      <c r="BR24" s="114"/>
      <c r="BS24" s="98" t="str">
        <f t="shared" si="6"/>
        <v>N/A</v>
      </c>
      <c r="BT24" s="81"/>
      <c r="BU24" s="98" t="str">
        <f t="shared" si="7"/>
        <v>N/A</v>
      </c>
      <c r="BV24" s="114"/>
      <c r="BW24" s="98" t="str">
        <f t="shared" si="8"/>
        <v>N/A</v>
      </c>
      <c r="BX24" s="114"/>
      <c r="BY24" s="98" t="str">
        <f t="shared" si="9"/>
        <v>N/A</v>
      </c>
      <c r="BZ24" s="81"/>
      <c r="CA24" s="98" t="str">
        <f t="shared" si="10"/>
        <v>N/A</v>
      </c>
      <c r="CB24" s="81"/>
      <c r="CC24" s="98" t="str">
        <f t="shared" si="11"/>
        <v>N/A</v>
      </c>
      <c r="CD24" s="112"/>
      <c r="CE24" s="98" t="str">
        <f t="shared" si="12"/>
        <v>N/A</v>
      </c>
      <c r="CF24" s="112"/>
      <c r="CG24" s="98" t="str">
        <f t="shared" si="13"/>
        <v>N/A</v>
      </c>
      <c r="CH24" s="114"/>
      <c r="CI24" s="98" t="str">
        <f t="shared" si="14"/>
        <v>N/A</v>
      </c>
      <c r="CJ24" s="114"/>
      <c r="CK24" s="98" t="str">
        <f t="shared" si="15"/>
        <v>N/A</v>
      </c>
      <c r="CL24" s="114"/>
      <c r="CM24" s="98" t="str">
        <f t="shared" si="16"/>
        <v>N/A</v>
      </c>
      <c r="CN24" s="114"/>
      <c r="CO24" s="98" t="str">
        <f t="shared" si="17"/>
        <v>N/A</v>
      </c>
      <c r="CP24" s="114"/>
      <c r="CQ24" s="98" t="str">
        <f t="shared" si="18"/>
        <v>N/A</v>
      </c>
      <c r="CR24" s="114"/>
      <c r="CS24" s="98" t="str">
        <f t="shared" si="19"/>
        <v>N/A</v>
      </c>
      <c r="CT24" s="114"/>
      <c r="CU24" s="674"/>
      <c r="CV24" s="114"/>
      <c r="CW24" s="98"/>
    </row>
    <row r="25" spans="1:101" ht="26.1" customHeight="1" x14ac:dyDescent="0.2">
      <c r="B25" s="249">
        <v>105</v>
      </c>
      <c r="C25" s="385">
        <v>18</v>
      </c>
      <c r="D25" s="266" t="s">
        <v>540</v>
      </c>
      <c r="E25" s="385" t="s">
        <v>200</v>
      </c>
      <c r="F25" s="544"/>
      <c r="G25" s="565"/>
      <c r="H25" s="544"/>
      <c r="I25" s="565"/>
      <c r="J25" s="544"/>
      <c r="K25" s="565"/>
      <c r="L25" s="544"/>
      <c r="M25" s="565"/>
      <c r="N25" s="544"/>
      <c r="O25" s="565"/>
      <c r="P25" s="544"/>
      <c r="Q25" s="565"/>
      <c r="R25" s="544"/>
      <c r="S25" s="565"/>
      <c r="T25" s="544"/>
      <c r="U25" s="565"/>
      <c r="V25" s="544"/>
      <c r="W25" s="565"/>
      <c r="X25" s="544"/>
      <c r="Y25" s="565"/>
      <c r="Z25" s="544"/>
      <c r="AA25" s="565"/>
      <c r="AB25" s="544"/>
      <c r="AC25" s="565"/>
      <c r="AD25" s="544"/>
      <c r="AE25" s="565"/>
      <c r="AF25" s="544"/>
      <c r="AG25" s="565"/>
      <c r="AH25" s="544"/>
      <c r="AI25" s="565"/>
      <c r="AJ25" s="544"/>
      <c r="AK25" s="565"/>
      <c r="AL25" s="544"/>
      <c r="AM25" s="565"/>
      <c r="AN25" s="544"/>
      <c r="AO25" s="565"/>
      <c r="AP25" s="544"/>
      <c r="AQ25" s="565"/>
      <c r="AR25" s="544"/>
      <c r="AS25" s="565"/>
      <c r="AT25" s="544"/>
      <c r="AU25" s="565"/>
      <c r="AV25" s="544"/>
      <c r="AW25" s="565"/>
      <c r="AZ25" s="81">
        <v>18</v>
      </c>
      <c r="BA25" s="277" t="s">
        <v>464</v>
      </c>
      <c r="BB25" s="81" t="s">
        <v>586</v>
      </c>
      <c r="BC25" s="81" t="s">
        <v>457</v>
      </c>
      <c r="BD25" s="114"/>
      <c r="BE25" s="98" t="str">
        <f t="shared" si="0"/>
        <v>N/A</v>
      </c>
      <c r="BF25" s="81"/>
      <c r="BG25" s="98" t="str">
        <f t="shared" si="20"/>
        <v>N/A</v>
      </c>
      <c r="BH25" s="81"/>
      <c r="BI25" s="98" t="str">
        <f t="shared" si="1"/>
        <v>N/A</v>
      </c>
      <c r="BJ25" s="81"/>
      <c r="BK25" s="98" t="str">
        <f t="shared" si="2"/>
        <v>N/A</v>
      </c>
      <c r="BL25" s="81"/>
      <c r="BM25" s="98" t="str">
        <f t="shared" si="3"/>
        <v>N/A</v>
      </c>
      <c r="BN25" s="112"/>
      <c r="BO25" s="98" t="str">
        <f t="shared" si="4"/>
        <v>N/A</v>
      </c>
      <c r="BP25" s="114"/>
      <c r="BQ25" s="98" t="str">
        <f t="shared" si="5"/>
        <v>N/A</v>
      </c>
      <c r="BR25" s="114"/>
      <c r="BS25" s="98" t="str">
        <f t="shared" si="6"/>
        <v>N/A</v>
      </c>
      <c r="BT25" s="81"/>
      <c r="BU25" s="98" t="str">
        <f t="shared" si="7"/>
        <v>N/A</v>
      </c>
      <c r="BV25" s="114"/>
      <c r="BW25" s="98" t="str">
        <f t="shared" si="8"/>
        <v>N/A</v>
      </c>
      <c r="BX25" s="114"/>
      <c r="BY25" s="98" t="str">
        <f t="shared" si="9"/>
        <v>N/A</v>
      </c>
      <c r="BZ25" s="81"/>
      <c r="CA25" s="98" t="str">
        <f t="shared" si="10"/>
        <v>N/A</v>
      </c>
      <c r="CB25" s="81"/>
      <c r="CC25" s="98" t="str">
        <f t="shared" si="11"/>
        <v>N/A</v>
      </c>
      <c r="CD25" s="112"/>
      <c r="CE25" s="98" t="str">
        <f t="shared" si="12"/>
        <v>N/A</v>
      </c>
      <c r="CF25" s="112"/>
      <c r="CG25" s="98" t="str">
        <f t="shared" si="13"/>
        <v>N/A</v>
      </c>
      <c r="CH25" s="114"/>
      <c r="CI25" s="98" t="str">
        <f t="shared" si="14"/>
        <v>N/A</v>
      </c>
      <c r="CJ25" s="114"/>
      <c r="CK25" s="98" t="str">
        <f t="shared" si="15"/>
        <v>N/A</v>
      </c>
      <c r="CL25" s="114"/>
      <c r="CM25" s="98" t="str">
        <f t="shared" si="16"/>
        <v>N/A</v>
      </c>
      <c r="CN25" s="114"/>
      <c r="CO25" s="98" t="str">
        <f t="shared" si="17"/>
        <v>N/A</v>
      </c>
      <c r="CP25" s="114"/>
      <c r="CQ25" s="98" t="str">
        <f t="shared" si="18"/>
        <v>N/A</v>
      </c>
      <c r="CR25" s="114"/>
      <c r="CS25" s="98" t="str">
        <f t="shared" si="19"/>
        <v>N/A</v>
      </c>
      <c r="CT25" s="114"/>
      <c r="CU25" s="674"/>
      <c r="CV25" s="114"/>
      <c r="CW25" s="98"/>
    </row>
    <row r="26" spans="1:101" ht="18.95" customHeight="1" x14ac:dyDescent="0.2">
      <c r="B26" s="249">
        <v>2414</v>
      </c>
      <c r="C26" s="488">
        <v>19</v>
      </c>
      <c r="D26" s="266" t="s">
        <v>526</v>
      </c>
      <c r="E26" s="385" t="s">
        <v>200</v>
      </c>
      <c r="F26" s="545"/>
      <c r="G26" s="566"/>
      <c r="H26" s="545"/>
      <c r="I26" s="566"/>
      <c r="J26" s="545"/>
      <c r="K26" s="566"/>
      <c r="L26" s="545"/>
      <c r="M26" s="566"/>
      <c r="N26" s="545"/>
      <c r="O26" s="566"/>
      <c r="P26" s="545"/>
      <c r="Q26" s="566"/>
      <c r="R26" s="545"/>
      <c r="S26" s="566"/>
      <c r="T26" s="545"/>
      <c r="U26" s="566"/>
      <c r="V26" s="545"/>
      <c r="W26" s="566"/>
      <c r="X26" s="545">
        <v>83042</v>
      </c>
      <c r="Y26" s="566"/>
      <c r="Z26" s="545">
        <v>82711</v>
      </c>
      <c r="AA26" s="566"/>
      <c r="AB26" s="545">
        <v>82391</v>
      </c>
      <c r="AC26" s="566"/>
      <c r="AD26" s="545">
        <v>82193</v>
      </c>
      <c r="AE26" s="566"/>
      <c r="AF26" s="545">
        <v>83040</v>
      </c>
      <c r="AG26" s="566"/>
      <c r="AH26" s="545"/>
      <c r="AI26" s="566"/>
      <c r="AJ26" s="545"/>
      <c r="AK26" s="566"/>
      <c r="AL26" s="545"/>
      <c r="AM26" s="566"/>
      <c r="AN26" s="545"/>
      <c r="AO26" s="566"/>
      <c r="AP26" s="545"/>
      <c r="AQ26" s="566"/>
      <c r="AR26" s="545"/>
      <c r="AS26" s="566"/>
      <c r="AT26" s="545"/>
      <c r="AU26" s="566"/>
      <c r="AV26" s="545"/>
      <c r="AW26" s="566"/>
      <c r="AY26" s="700"/>
      <c r="AZ26" s="272">
        <v>19</v>
      </c>
      <c r="BA26" s="489" t="s">
        <v>469</v>
      </c>
      <c r="BB26" s="81" t="s">
        <v>586</v>
      </c>
      <c r="BC26" s="81" t="s">
        <v>457</v>
      </c>
      <c r="BD26" s="114"/>
      <c r="BE26" s="98" t="str">
        <f t="shared" si="0"/>
        <v>N/A</v>
      </c>
      <c r="BF26" s="81"/>
      <c r="BG26" s="98" t="str">
        <f t="shared" si="20"/>
        <v>N/A</v>
      </c>
      <c r="BH26" s="81"/>
      <c r="BI26" s="98" t="str">
        <f t="shared" si="1"/>
        <v>N/A</v>
      </c>
      <c r="BJ26" s="81"/>
      <c r="BK26" s="98" t="str">
        <f t="shared" si="2"/>
        <v>N/A</v>
      </c>
      <c r="BL26" s="81"/>
      <c r="BM26" s="98" t="str">
        <f t="shared" si="3"/>
        <v>N/A</v>
      </c>
      <c r="BN26" s="81"/>
      <c r="BO26" s="98" t="str">
        <f t="shared" si="4"/>
        <v>N/A</v>
      </c>
      <c r="BP26" s="114"/>
      <c r="BQ26" s="98" t="str">
        <f t="shared" si="5"/>
        <v>N/A</v>
      </c>
      <c r="BR26" s="81"/>
      <c r="BS26" s="98" t="str">
        <f t="shared" si="6"/>
        <v>N/A</v>
      </c>
      <c r="BT26" s="81"/>
      <c r="BU26" s="98" t="str">
        <f t="shared" si="7"/>
        <v>N/A</v>
      </c>
      <c r="BV26" s="114"/>
      <c r="BW26" s="98" t="str">
        <f t="shared" si="8"/>
        <v>ok</v>
      </c>
      <c r="BX26" s="81"/>
      <c r="BY26" s="98" t="str">
        <f t="shared" si="9"/>
        <v>ok</v>
      </c>
      <c r="BZ26" s="81"/>
      <c r="CA26" s="98" t="str">
        <f t="shared" si="10"/>
        <v>ok</v>
      </c>
      <c r="CB26" s="81"/>
      <c r="CC26" s="98" t="str">
        <f t="shared" si="11"/>
        <v>ok</v>
      </c>
      <c r="CD26" s="81"/>
      <c r="CE26" s="98" t="str">
        <f t="shared" si="12"/>
        <v>N/A</v>
      </c>
      <c r="CF26" s="81"/>
      <c r="CG26" s="98" t="str">
        <f t="shared" si="13"/>
        <v>N/A</v>
      </c>
      <c r="CH26" s="114"/>
      <c r="CI26" s="98" t="str">
        <f t="shared" si="14"/>
        <v>N/A</v>
      </c>
      <c r="CJ26" s="81"/>
      <c r="CK26" s="98" t="str">
        <f t="shared" si="15"/>
        <v>N/A</v>
      </c>
      <c r="CL26" s="114"/>
      <c r="CM26" s="98" t="str">
        <f t="shared" si="16"/>
        <v>N/A</v>
      </c>
      <c r="CN26" s="81"/>
      <c r="CO26" s="98" t="str">
        <f t="shared" si="17"/>
        <v>N/A</v>
      </c>
      <c r="CP26" s="81"/>
      <c r="CQ26" s="98" t="str">
        <f t="shared" si="18"/>
        <v>N/A</v>
      </c>
      <c r="CR26" s="81"/>
      <c r="CS26" s="98" t="str">
        <f t="shared" si="19"/>
        <v>N/A</v>
      </c>
      <c r="CT26" s="81"/>
      <c r="CU26" s="674"/>
      <c r="CV26" s="81"/>
      <c r="CW26" s="98"/>
    </row>
    <row r="27" spans="1:101" ht="26.1" customHeight="1" x14ac:dyDescent="0.2">
      <c r="B27" s="490">
        <v>160</v>
      </c>
      <c r="C27" s="279">
        <v>20</v>
      </c>
      <c r="D27" s="280" t="s">
        <v>496</v>
      </c>
      <c r="E27" s="279" t="s">
        <v>201</v>
      </c>
      <c r="F27" s="546"/>
      <c r="G27" s="567"/>
      <c r="H27" s="546"/>
      <c r="I27" s="567"/>
      <c r="J27" s="546"/>
      <c r="K27" s="567"/>
      <c r="L27" s="546"/>
      <c r="M27" s="567"/>
      <c r="N27" s="546"/>
      <c r="O27" s="567"/>
      <c r="P27" s="546"/>
      <c r="Q27" s="567"/>
      <c r="R27" s="546"/>
      <c r="S27" s="567"/>
      <c r="T27" s="546"/>
      <c r="U27" s="567"/>
      <c r="V27" s="546"/>
      <c r="W27" s="567"/>
      <c r="X27" s="546"/>
      <c r="Y27" s="567"/>
      <c r="Z27" s="546"/>
      <c r="AA27" s="567"/>
      <c r="AB27" s="546"/>
      <c r="AC27" s="567"/>
      <c r="AD27" s="546"/>
      <c r="AE27" s="567"/>
      <c r="AF27" s="546"/>
      <c r="AG27" s="567"/>
      <c r="AH27" s="546"/>
      <c r="AI27" s="567"/>
      <c r="AJ27" s="546"/>
      <c r="AK27" s="567"/>
      <c r="AL27" s="546"/>
      <c r="AM27" s="567"/>
      <c r="AN27" s="546"/>
      <c r="AO27" s="567"/>
      <c r="AP27" s="546"/>
      <c r="AQ27" s="567"/>
      <c r="AR27" s="546"/>
      <c r="AS27" s="567"/>
      <c r="AT27" s="546"/>
      <c r="AU27" s="567"/>
      <c r="AV27" s="546"/>
      <c r="AW27" s="567"/>
      <c r="AZ27" s="96">
        <v>20</v>
      </c>
      <c r="BA27" s="491" t="s">
        <v>421</v>
      </c>
      <c r="BB27" s="96" t="s">
        <v>201</v>
      </c>
      <c r="BC27" s="96" t="s">
        <v>457</v>
      </c>
      <c r="BD27" s="492"/>
      <c r="BE27" s="96" t="str">
        <f t="shared" si="0"/>
        <v>N/A</v>
      </c>
      <c r="BF27" s="96"/>
      <c r="BG27" s="96" t="str">
        <f t="shared" si="20"/>
        <v>N/A</v>
      </c>
      <c r="BH27" s="96"/>
      <c r="BI27" s="96" t="str">
        <f t="shared" si="1"/>
        <v>N/A</v>
      </c>
      <c r="BJ27" s="96"/>
      <c r="BK27" s="96" t="str">
        <f t="shared" si="2"/>
        <v>N/A</v>
      </c>
      <c r="BL27" s="96"/>
      <c r="BM27" s="96" t="str">
        <f t="shared" si="3"/>
        <v>N/A</v>
      </c>
      <c r="BN27" s="96"/>
      <c r="BO27" s="96" t="str">
        <f t="shared" si="4"/>
        <v>N/A</v>
      </c>
      <c r="BP27" s="96"/>
      <c r="BQ27" s="96" t="str">
        <f t="shared" si="5"/>
        <v>N/A</v>
      </c>
      <c r="BR27" s="96"/>
      <c r="BS27" s="96" t="str">
        <f t="shared" si="6"/>
        <v>N/A</v>
      </c>
      <c r="BT27" s="96"/>
      <c r="BU27" s="96" t="str">
        <f t="shared" si="7"/>
        <v>N/A</v>
      </c>
      <c r="BV27" s="96"/>
      <c r="BW27" s="96" t="str">
        <f t="shared" si="8"/>
        <v>N/A</v>
      </c>
      <c r="BX27" s="96"/>
      <c r="BY27" s="96" t="str">
        <f t="shared" si="9"/>
        <v>N/A</v>
      </c>
      <c r="BZ27" s="96"/>
      <c r="CA27" s="96" t="str">
        <f t="shared" si="10"/>
        <v>N/A</v>
      </c>
      <c r="CB27" s="96"/>
      <c r="CC27" s="96" t="str">
        <f t="shared" si="11"/>
        <v>N/A</v>
      </c>
      <c r="CD27" s="96"/>
      <c r="CE27" s="96" t="str">
        <f t="shared" si="12"/>
        <v>N/A</v>
      </c>
      <c r="CF27" s="96"/>
      <c r="CG27" s="96" t="str">
        <f t="shared" si="13"/>
        <v>N/A</v>
      </c>
      <c r="CH27" s="96"/>
      <c r="CI27" s="96" t="str">
        <f t="shared" si="14"/>
        <v>N/A</v>
      </c>
      <c r="CJ27" s="96"/>
      <c r="CK27" s="96" t="str">
        <f t="shared" si="15"/>
        <v>N/A</v>
      </c>
      <c r="CL27" s="96"/>
      <c r="CM27" s="96" t="str">
        <f t="shared" si="16"/>
        <v>N/A</v>
      </c>
      <c r="CN27" s="96"/>
      <c r="CO27" s="96" t="str">
        <f t="shared" si="17"/>
        <v>N/A</v>
      </c>
      <c r="CP27" s="96"/>
      <c r="CQ27" s="96" t="str">
        <f t="shared" si="18"/>
        <v>N/A</v>
      </c>
      <c r="CR27" s="96"/>
      <c r="CS27" s="96" t="str">
        <f t="shared" si="19"/>
        <v>N/A</v>
      </c>
      <c r="CT27" s="96"/>
      <c r="CU27" s="675"/>
      <c r="CV27" s="96"/>
      <c r="CW27" s="98"/>
    </row>
    <row r="28" spans="1:101" ht="25.35" customHeight="1" x14ac:dyDescent="0.2">
      <c r="AZ28" s="493"/>
      <c r="BA28" s="97"/>
      <c r="BB28" s="494"/>
      <c r="BC28" s="495"/>
      <c r="BD28" s="439"/>
      <c r="BE28" s="439"/>
      <c r="BF28" s="439"/>
      <c r="BG28" s="439"/>
      <c r="BH28" s="439"/>
      <c r="BI28" s="439"/>
      <c r="BJ28" s="439"/>
      <c r="BK28" s="439"/>
      <c r="BL28" s="439"/>
      <c r="BM28" s="439"/>
      <c r="BN28" s="439"/>
      <c r="BO28" s="439"/>
      <c r="BP28" s="439"/>
      <c r="BQ28" s="439"/>
      <c r="BR28" s="439"/>
      <c r="BS28" s="439"/>
      <c r="BT28" s="439"/>
      <c r="BU28" s="439"/>
      <c r="BV28" s="439"/>
      <c r="BW28" s="439"/>
      <c r="BX28" s="439"/>
      <c r="BY28" s="439"/>
      <c r="BZ28" s="439"/>
      <c r="CA28" s="439"/>
      <c r="CB28" s="439"/>
      <c r="CC28" s="439"/>
      <c r="CD28" s="439"/>
      <c r="CE28" s="439"/>
      <c r="CF28" s="439"/>
      <c r="CG28" s="439"/>
      <c r="CH28" s="439"/>
      <c r="CI28" s="439"/>
      <c r="CJ28" s="439"/>
    </row>
    <row r="29" spans="1:101" ht="3" customHeight="1" x14ac:dyDescent="0.2">
      <c r="C29" s="496"/>
      <c r="D29" s="219"/>
      <c r="E29" s="497"/>
      <c r="F29" s="219"/>
      <c r="G29" s="219"/>
      <c r="H29" s="219"/>
      <c r="I29" s="218"/>
      <c r="J29" s="218"/>
      <c r="K29" s="218"/>
      <c r="L29" s="218"/>
      <c r="M29" s="218"/>
      <c r="N29" s="218"/>
      <c r="O29" s="218"/>
      <c r="P29" s="304"/>
      <c r="Q29" s="218"/>
      <c r="R29" s="304"/>
      <c r="S29" s="218"/>
      <c r="T29" s="304"/>
      <c r="U29" s="218"/>
      <c r="V29" s="304"/>
      <c r="W29" s="218"/>
      <c r="X29" s="219"/>
      <c r="Y29" s="218"/>
      <c r="Z29" s="219"/>
      <c r="AA29" s="218"/>
      <c r="AB29" s="219"/>
      <c r="AC29" s="218"/>
      <c r="AD29" s="219"/>
      <c r="AE29" s="218"/>
      <c r="AF29" s="219"/>
      <c r="AG29" s="218"/>
      <c r="AH29" s="219"/>
      <c r="AI29" s="218"/>
      <c r="AJ29" s="304"/>
      <c r="AK29" s="218"/>
      <c r="AL29" s="219"/>
      <c r="AM29" s="218"/>
      <c r="AN29" s="219"/>
      <c r="AO29" s="359"/>
      <c r="AP29" s="359"/>
      <c r="AQ29" s="359"/>
      <c r="AR29" s="359"/>
      <c r="AS29" s="359"/>
      <c r="AV29" s="359"/>
      <c r="AW29" s="359"/>
      <c r="AZ29" s="379" t="s">
        <v>429</v>
      </c>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439"/>
      <c r="CN29" s="439"/>
      <c r="CO29" s="439"/>
      <c r="CP29" s="439"/>
      <c r="CQ29" s="439"/>
      <c r="CR29" s="439"/>
      <c r="CS29" s="439"/>
      <c r="CT29" s="439"/>
      <c r="CU29" s="439"/>
      <c r="CV29" s="439"/>
      <c r="CW29" s="439"/>
    </row>
    <row r="30" spans="1:101" ht="14.25" customHeight="1" x14ac:dyDescent="0.2">
      <c r="C30" s="372" t="s">
        <v>480</v>
      </c>
      <c r="D30" s="285"/>
      <c r="E30" s="464"/>
      <c r="F30" s="372"/>
      <c r="G30" s="372"/>
      <c r="AZ30" s="244" t="s">
        <v>195</v>
      </c>
      <c r="BA30" s="244" t="s">
        <v>196</v>
      </c>
      <c r="BB30" s="244" t="s">
        <v>197</v>
      </c>
      <c r="BC30" s="243">
        <v>1990</v>
      </c>
      <c r="BD30" s="243"/>
      <c r="BE30" s="244">
        <v>1995</v>
      </c>
      <c r="BF30" s="244"/>
      <c r="BG30" s="244">
        <v>2000</v>
      </c>
      <c r="BH30" s="244"/>
      <c r="BI30" s="244">
        <v>2001</v>
      </c>
      <c r="BJ30" s="244"/>
      <c r="BK30" s="244">
        <v>2002</v>
      </c>
      <c r="BL30" s="244"/>
      <c r="BM30" s="244">
        <v>2003</v>
      </c>
      <c r="BN30" s="244"/>
      <c r="BO30" s="244">
        <v>2004</v>
      </c>
      <c r="BP30" s="244"/>
      <c r="BQ30" s="244">
        <v>2005</v>
      </c>
      <c r="BR30" s="244"/>
      <c r="BS30" s="244">
        <v>2006</v>
      </c>
      <c r="BT30" s="244"/>
      <c r="BU30" s="244">
        <v>2007</v>
      </c>
      <c r="BV30" s="244"/>
      <c r="BW30" s="244">
        <v>2008</v>
      </c>
      <c r="BX30" s="244"/>
      <c r="BY30" s="244">
        <v>2009</v>
      </c>
      <c r="BZ30" s="244"/>
      <c r="CA30" s="244">
        <v>2010</v>
      </c>
      <c r="CB30" s="244"/>
      <c r="CC30" s="244">
        <v>2011</v>
      </c>
      <c r="CD30" s="244"/>
      <c r="CE30" s="244">
        <v>2012</v>
      </c>
      <c r="CF30" s="244"/>
      <c r="CG30" s="244">
        <v>2013</v>
      </c>
      <c r="CH30" s="244"/>
      <c r="CI30" s="244">
        <v>2014</v>
      </c>
      <c r="CJ30" s="244"/>
      <c r="CK30" s="244">
        <v>2015</v>
      </c>
      <c r="CL30" s="244"/>
      <c r="CM30" s="244">
        <v>2016</v>
      </c>
      <c r="CN30" s="244"/>
      <c r="CO30" s="244">
        <v>2017</v>
      </c>
      <c r="CP30" s="244"/>
      <c r="CQ30" s="244">
        <v>2018</v>
      </c>
      <c r="CR30" s="244"/>
      <c r="CS30" s="244">
        <v>2019</v>
      </c>
      <c r="CT30" s="244"/>
      <c r="CU30" s="244"/>
      <c r="CV30" s="244"/>
      <c r="CW30" s="244"/>
    </row>
    <row r="31" spans="1:101" ht="13.5" customHeight="1" x14ac:dyDescent="0.2">
      <c r="C31" s="292" t="s">
        <v>474</v>
      </c>
      <c r="D31" s="783" t="s">
        <v>527</v>
      </c>
      <c r="E31" s="783"/>
      <c r="F31" s="783"/>
      <c r="G31" s="783"/>
      <c r="H31" s="783"/>
      <c r="I31" s="783"/>
      <c r="J31" s="783"/>
      <c r="K31" s="783"/>
      <c r="L31" s="783"/>
      <c r="M31" s="783"/>
      <c r="N31" s="783"/>
      <c r="O31" s="783"/>
      <c r="P31" s="783"/>
      <c r="Q31" s="783"/>
      <c r="R31" s="783"/>
      <c r="S31" s="783"/>
      <c r="T31" s="783"/>
      <c r="U31" s="783"/>
      <c r="V31" s="783"/>
      <c r="W31" s="783"/>
      <c r="X31" s="783"/>
      <c r="Y31" s="783"/>
      <c r="Z31" s="783"/>
      <c r="AA31" s="783"/>
      <c r="AB31" s="783"/>
      <c r="AC31" s="783"/>
      <c r="AD31" s="783"/>
      <c r="AE31" s="783"/>
      <c r="AF31" s="783"/>
      <c r="AG31" s="783"/>
      <c r="AH31" s="783"/>
      <c r="AI31" s="783"/>
      <c r="AJ31" s="783"/>
      <c r="AK31" s="783"/>
      <c r="AL31" s="783"/>
      <c r="AM31" s="783"/>
      <c r="AN31" s="783"/>
      <c r="AO31" s="783"/>
      <c r="AP31" s="783"/>
      <c r="AQ31" s="783"/>
      <c r="AR31" s="783"/>
      <c r="AS31" s="783"/>
      <c r="AT31" s="783"/>
      <c r="AU31" s="783"/>
      <c r="AV31" s="783"/>
      <c r="AW31" s="783"/>
      <c r="AX31" s="783"/>
      <c r="AY31" s="409"/>
      <c r="AZ31" s="393">
        <v>1</v>
      </c>
      <c r="BA31" s="484" t="s">
        <v>460</v>
      </c>
      <c r="BB31" s="81" t="s">
        <v>200</v>
      </c>
      <c r="BC31" s="114">
        <f>F8</f>
        <v>0</v>
      </c>
      <c r="BD31" s="114"/>
      <c r="BE31" s="114">
        <f>H8</f>
        <v>0</v>
      </c>
      <c r="BF31" s="114"/>
      <c r="BG31" s="114">
        <f>J8</f>
        <v>0</v>
      </c>
      <c r="BH31" s="114"/>
      <c r="BI31" s="114">
        <f>L8</f>
        <v>0</v>
      </c>
      <c r="BJ31" s="114"/>
      <c r="BK31" s="114">
        <f>N8</f>
        <v>0</v>
      </c>
      <c r="BL31" s="114"/>
      <c r="BM31" s="114">
        <f>P8</f>
        <v>0</v>
      </c>
      <c r="BN31" s="114"/>
      <c r="BO31" s="114">
        <f>R8</f>
        <v>0</v>
      </c>
      <c r="BP31" s="114"/>
      <c r="BQ31" s="114">
        <f>T8</f>
        <v>0</v>
      </c>
      <c r="BR31" s="114"/>
      <c r="BS31" s="114">
        <f>V8</f>
        <v>0</v>
      </c>
      <c r="BT31" s="114"/>
      <c r="BU31" s="114">
        <f>X8</f>
        <v>0</v>
      </c>
      <c r="BV31" s="114"/>
      <c r="BW31" s="114">
        <f>Z8</f>
        <v>0</v>
      </c>
      <c r="BX31" s="114"/>
      <c r="BY31" s="114">
        <f>AB8</f>
        <v>0</v>
      </c>
      <c r="BZ31" s="114"/>
      <c r="CA31" s="114">
        <f>AD8</f>
        <v>0</v>
      </c>
      <c r="CB31" s="114"/>
      <c r="CC31" s="114">
        <f>AF8</f>
        <v>0</v>
      </c>
      <c r="CD31" s="114"/>
      <c r="CE31" s="114">
        <f>AH8</f>
        <v>0</v>
      </c>
      <c r="CF31" s="114"/>
      <c r="CG31" s="114">
        <f>AJ8</f>
        <v>0</v>
      </c>
      <c r="CH31" s="114"/>
      <c r="CI31" s="114">
        <f>AL8</f>
        <v>0</v>
      </c>
      <c r="CJ31" s="114"/>
      <c r="CK31" s="114">
        <f>AN8</f>
        <v>0</v>
      </c>
      <c r="CL31" s="114"/>
      <c r="CM31" s="114">
        <f>AP8</f>
        <v>0</v>
      </c>
      <c r="CN31" s="114"/>
      <c r="CO31" s="114">
        <f>AR8</f>
        <v>0</v>
      </c>
      <c r="CP31" s="114"/>
      <c r="CQ31" s="114">
        <f>AT8</f>
        <v>0</v>
      </c>
      <c r="CR31" s="114"/>
      <c r="CS31" s="114">
        <f>AV8</f>
        <v>0</v>
      </c>
      <c r="CT31" s="114"/>
      <c r="CU31" s="114"/>
      <c r="CV31" s="114"/>
      <c r="CW31" s="114"/>
    </row>
    <row r="32" spans="1:101" ht="17.100000000000001" customHeight="1" x14ac:dyDescent="0.2">
      <c r="A32" s="294"/>
      <c r="B32" s="294"/>
      <c r="C32" s="292" t="s">
        <v>474</v>
      </c>
      <c r="D32" s="785" t="s">
        <v>64</v>
      </c>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785"/>
      <c r="AM32" s="785"/>
      <c r="AN32" s="785"/>
      <c r="AO32" s="785"/>
      <c r="AP32" s="785"/>
      <c r="AQ32" s="785"/>
      <c r="AR32" s="785"/>
      <c r="AS32" s="785"/>
      <c r="AT32" s="785"/>
      <c r="AU32" s="785"/>
      <c r="AV32" s="785"/>
      <c r="AW32" s="785"/>
      <c r="AX32" s="785"/>
      <c r="AY32" s="409"/>
      <c r="AZ32" s="312">
        <v>21</v>
      </c>
      <c r="BA32" s="296" t="s">
        <v>590</v>
      </c>
      <c r="BB32" s="81" t="s">
        <v>200</v>
      </c>
      <c r="BC32" s="114">
        <f>SUM(F9:F12)+SUM(F14:F16)</f>
        <v>0</v>
      </c>
      <c r="BD32" s="114"/>
      <c r="BE32" s="114">
        <f>SUM(H9:H12)+SUM(H14:H16)</f>
        <v>0</v>
      </c>
      <c r="BF32" s="114"/>
      <c r="BG32" s="114">
        <f>SUM(J9:J12)+SUM(J14:J16)</f>
        <v>0</v>
      </c>
      <c r="BH32" s="114"/>
      <c r="BI32" s="114">
        <f>SUM(L9:L12)+SUM(L14:L16)</f>
        <v>0</v>
      </c>
      <c r="BJ32" s="114"/>
      <c r="BK32" s="114">
        <f>SUM(N9:N12)+SUM(N14:N16)</f>
        <v>0</v>
      </c>
      <c r="BL32" s="114"/>
      <c r="BM32" s="114">
        <f>SUM(P9:P12)+SUM(P14:P16)</f>
        <v>0</v>
      </c>
      <c r="BN32" s="114"/>
      <c r="BO32" s="114">
        <f>SUM(R9:R12)+SUM(R14:R16)</f>
        <v>0</v>
      </c>
      <c r="BP32" s="114"/>
      <c r="BQ32" s="114">
        <f>SUM(T9:T12)+SUM(T14:T16)</f>
        <v>0</v>
      </c>
      <c r="BR32" s="114"/>
      <c r="BS32" s="114">
        <f>SUM(V9:V12)+SUM(V14:V16)</f>
        <v>0</v>
      </c>
      <c r="BT32" s="114"/>
      <c r="BU32" s="114">
        <f>SUM(X9:X12)+SUM(X14:X16)</f>
        <v>88342</v>
      </c>
      <c r="BV32" s="114"/>
      <c r="BW32" s="114">
        <f>SUM(Z9:Z12)+SUM(Z14:Z16)</f>
        <v>87990</v>
      </c>
      <c r="BX32" s="114"/>
      <c r="BY32" s="114">
        <f>SUM(AB9:AB12)+SUM(AB14:AB16)</f>
        <v>87650</v>
      </c>
      <c r="BZ32" s="114"/>
      <c r="CA32" s="114">
        <f>SUM(AD9:AD12)+SUM(AD14:AD16)</f>
        <v>87440</v>
      </c>
      <c r="CB32" s="114"/>
      <c r="CC32" s="114">
        <f>SUM(AF9:AF12)+SUM(AF14:AF16)</f>
        <v>88345</v>
      </c>
      <c r="CD32" s="114"/>
      <c r="CE32" s="114">
        <f>SUM(AH9:AH12)+SUM(AH14:AH16)</f>
        <v>0</v>
      </c>
      <c r="CF32" s="114"/>
      <c r="CG32" s="114">
        <f>SUM(AJ9:AJ12)+SUM(AJ14:AJ16)</f>
        <v>0</v>
      </c>
      <c r="CH32" s="114"/>
      <c r="CI32" s="114">
        <f>SUM(AL9:AL12)+SUM(AL14:AL16)</f>
        <v>0</v>
      </c>
      <c r="CJ32" s="114"/>
      <c r="CK32" s="114">
        <f>SUM(AN9:AN12)+SUM(AN14:AN16)</f>
        <v>0</v>
      </c>
      <c r="CL32" s="114"/>
      <c r="CM32" s="114">
        <f>SUM(AP9:AP12)+SUM(AP14:AP16)</f>
        <v>0</v>
      </c>
      <c r="CN32" s="114"/>
      <c r="CO32" s="114">
        <f>SUM(AR9:AR12)+SUM(AR14:AR16)</f>
        <v>0</v>
      </c>
      <c r="CP32" s="114"/>
      <c r="CQ32" s="114">
        <f>SUM(AT9:AT12)+SUM(AT14:AT16)</f>
        <v>0</v>
      </c>
      <c r="CR32" s="114"/>
      <c r="CS32" s="114">
        <f>SUM(AV9:AV12)+SUM(AV14:AV16)</f>
        <v>0</v>
      </c>
      <c r="CT32" s="114"/>
      <c r="CU32" s="114"/>
      <c r="CV32" s="114"/>
      <c r="CW32" s="114"/>
    </row>
    <row r="33" spans="1:101" ht="25.5" customHeight="1" x14ac:dyDescent="0.2">
      <c r="A33" s="294"/>
      <c r="B33" s="294"/>
      <c r="C33" s="292" t="s">
        <v>474</v>
      </c>
      <c r="D33" s="783" t="s">
        <v>118</v>
      </c>
      <c r="E33" s="783"/>
      <c r="F33" s="783"/>
      <c r="G33" s="783"/>
      <c r="H33" s="783"/>
      <c r="I33" s="783"/>
      <c r="J33" s="783"/>
      <c r="K33" s="783"/>
      <c r="L33" s="783"/>
      <c r="M33" s="783"/>
      <c r="N33" s="783"/>
      <c r="O33" s="783"/>
      <c r="P33" s="783"/>
      <c r="Q33" s="783"/>
      <c r="R33" s="783"/>
      <c r="S33" s="783"/>
      <c r="T33" s="783"/>
      <c r="U33" s="783"/>
      <c r="V33" s="783"/>
      <c r="W33" s="783"/>
      <c r="X33" s="783"/>
      <c r="Y33" s="783"/>
      <c r="Z33" s="783"/>
      <c r="AA33" s="783"/>
      <c r="AB33" s="783"/>
      <c r="AC33" s="783"/>
      <c r="AD33" s="783"/>
      <c r="AE33" s="783"/>
      <c r="AF33" s="783"/>
      <c r="AG33" s="783"/>
      <c r="AH33" s="783"/>
      <c r="AI33" s="783"/>
      <c r="AJ33" s="783"/>
      <c r="AK33" s="783"/>
      <c r="AL33" s="783"/>
      <c r="AM33" s="783"/>
      <c r="AN33" s="783"/>
      <c r="AO33" s="783"/>
      <c r="AP33" s="783"/>
      <c r="AQ33" s="783"/>
      <c r="AR33" s="783"/>
      <c r="AS33" s="783"/>
      <c r="AT33" s="783"/>
      <c r="AU33" s="783"/>
      <c r="AV33" s="783"/>
      <c r="AW33" s="783"/>
      <c r="AX33" s="783"/>
      <c r="AY33" s="409"/>
      <c r="AZ33" s="300" t="s">
        <v>136</v>
      </c>
      <c r="BA33" s="296" t="s">
        <v>591</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c r="CU33" s="81"/>
      <c r="CV33" s="81"/>
      <c r="CW33" s="81"/>
    </row>
    <row r="34" spans="1:101" ht="33" customHeight="1" x14ac:dyDescent="0.2">
      <c r="A34" s="294"/>
      <c r="B34" s="294"/>
      <c r="C34" s="292"/>
      <c r="D34" s="498" t="str">
        <f>D9 &amp; " (W4,2)"</f>
        <v>por
    Agricultura, ganadería, silvicultura y pesca (CIIU 01-03) (W4,2)</v>
      </c>
      <c r="E34" s="298"/>
      <c r="F34" s="298"/>
      <c r="G34" s="298"/>
      <c r="H34" s="298"/>
      <c r="I34" s="298"/>
      <c r="J34" s="298"/>
      <c r="K34" s="298"/>
      <c r="L34" s="298"/>
      <c r="M34" s="298"/>
      <c r="N34" s="298"/>
      <c r="O34" s="298"/>
      <c r="P34" s="298"/>
      <c r="Q34" s="298"/>
      <c r="R34" s="298"/>
      <c r="S34" s="298"/>
      <c r="T34" s="298"/>
      <c r="U34" s="875" t="str">
        <f>D17&amp; " (W4,10)"</f>
        <v>Tratamiento de aguas residuales urbanas (W4,10)</v>
      </c>
      <c r="V34" s="876"/>
      <c r="W34" s="876"/>
      <c r="X34" s="876"/>
      <c r="Y34" s="876"/>
      <c r="Z34" s="876"/>
      <c r="AA34" s="876"/>
      <c r="AB34" s="877"/>
      <c r="AC34" s="501"/>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409"/>
      <c r="AZ34" s="312">
        <v>22</v>
      </c>
      <c r="BA34" s="296" t="s">
        <v>592</v>
      </c>
      <c r="BB34" s="81" t="s">
        <v>200</v>
      </c>
      <c r="BC34" s="114">
        <f>F17+F21+F25+F26</f>
        <v>0</v>
      </c>
      <c r="BD34" s="114"/>
      <c r="BE34" s="114">
        <f>H17+H21+H25+H26</f>
        <v>0</v>
      </c>
      <c r="BF34" s="114"/>
      <c r="BG34" s="114">
        <f>J17+J21+J25+J26</f>
        <v>0</v>
      </c>
      <c r="BH34" s="114"/>
      <c r="BI34" s="114">
        <f>L17+L21+L25+L26</f>
        <v>0</v>
      </c>
      <c r="BJ34" s="114"/>
      <c r="BK34" s="114">
        <f>N17+N21+N25+N26</f>
        <v>0</v>
      </c>
      <c r="BL34" s="114"/>
      <c r="BM34" s="114">
        <f>P17+P21+P25+P26</f>
        <v>0</v>
      </c>
      <c r="BN34" s="114"/>
      <c r="BO34" s="114">
        <f>R17+R21+R25+R26</f>
        <v>0</v>
      </c>
      <c r="BP34" s="114"/>
      <c r="BQ34" s="114">
        <f>T17+T21+T25+T26</f>
        <v>0</v>
      </c>
      <c r="BR34" s="114"/>
      <c r="BS34" s="114">
        <f>V17+V21+V25+V26</f>
        <v>0</v>
      </c>
      <c r="BT34" s="114"/>
      <c r="BU34" s="114">
        <f>X17+X21+X25+X26</f>
        <v>88342</v>
      </c>
      <c r="BV34" s="114"/>
      <c r="BW34" s="114">
        <f>Z17+Z21+Z25+Z26</f>
        <v>87990</v>
      </c>
      <c r="BX34" s="114"/>
      <c r="BY34" s="114">
        <f>AB17+AB21+AB25+AB26</f>
        <v>87650</v>
      </c>
      <c r="BZ34" s="114"/>
      <c r="CA34" s="114">
        <f>AD17+AD21+AD25+AD26</f>
        <v>87440</v>
      </c>
      <c r="CB34" s="114"/>
      <c r="CC34" s="114">
        <f>AF17+AF21+AF25+AF26</f>
        <v>88345</v>
      </c>
      <c r="CD34" s="114"/>
      <c r="CE34" s="114">
        <f>AH17+AH21+AH25+AH26</f>
        <v>0</v>
      </c>
      <c r="CF34" s="114"/>
      <c r="CG34" s="114">
        <f>AJ17+AJ21+AJ25+AJ26</f>
        <v>0</v>
      </c>
      <c r="CH34" s="114"/>
      <c r="CI34" s="114">
        <f>AL17+AL21+AL25+AL26</f>
        <v>0</v>
      </c>
      <c r="CJ34" s="114"/>
      <c r="CK34" s="114">
        <f>AN17+AN21+AN25+AN26</f>
        <v>0</v>
      </c>
      <c r="CL34" s="114"/>
      <c r="CM34" s="114">
        <f>AP17+AP21+AP25+AP26</f>
        <v>0</v>
      </c>
      <c r="CN34" s="114"/>
      <c r="CO34" s="114">
        <f>AR17+AR21+AR25+AR26</f>
        <v>0</v>
      </c>
      <c r="CP34" s="114"/>
      <c r="CQ34" s="114">
        <f>AT17+AT21+AT25+AT26</f>
        <v>0</v>
      </c>
      <c r="CR34" s="114"/>
      <c r="CS34" s="114">
        <f>AV17+AV21+AV25+AV26</f>
        <v>0</v>
      </c>
      <c r="CT34" s="114"/>
      <c r="CU34" s="114"/>
      <c r="CV34" s="114"/>
      <c r="CW34" s="114"/>
    </row>
    <row r="35" spans="1:101" ht="7.35" customHeight="1" x14ac:dyDescent="0.2">
      <c r="A35" s="294"/>
      <c r="B35" s="294"/>
      <c r="C35" s="292"/>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501"/>
      <c r="AD35" s="298"/>
      <c r="AE35" s="298"/>
      <c r="AF35" s="298"/>
      <c r="AG35" s="298"/>
      <c r="AH35" s="298"/>
      <c r="AI35" s="304"/>
      <c r="AJ35" s="499"/>
      <c r="AK35" s="499"/>
      <c r="AL35" s="499"/>
      <c r="AM35" s="304"/>
      <c r="AN35" s="304"/>
      <c r="AO35" s="304"/>
      <c r="AP35" s="304"/>
      <c r="AQ35" s="304"/>
      <c r="AR35" s="304"/>
      <c r="AS35" s="304"/>
      <c r="AT35" s="304"/>
      <c r="AU35" s="298"/>
      <c r="AV35" s="298"/>
      <c r="AW35" s="298"/>
      <c r="AX35" s="298"/>
      <c r="AY35" s="409"/>
      <c r="AZ35" s="300"/>
      <c r="BA35" s="296"/>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row>
    <row r="36" spans="1:101" ht="24.6" customHeight="1" x14ac:dyDescent="0.2">
      <c r="A36" s="294"/>
      <c r="B36" s="294"/>
      <c r="C36" s="292"/>
      <c r="D36" s="498" t="str">
        <f>D10 &amp; " (W4,3)"</f>
        <v xml:space="preserve">    Explotación de minas y canteras (CIIU 05-09) (W4,3)</v>
      </c>
      <c r="E36" s="499"/>
      <c r="F36" s="499"/>
      <c r="G36" s="499"/>
      <c r="H36" s="499"/>
      <c r="I36" s="499"/>
      <c r="J36" s="499"/>
      <c r="K36" s="499"/>
      <c r="L36" s="499"/>
      <c r="M36" s="499"/>
      <c r="N36" s="499"/>
      <c r="O36" s="499"/>
      <c r="P36" s="499"/>
      <c r="Q36" s="499"/>
      <c r="R36" s="499"/>
      <c r="S36" s="499"/>
      <c r="T36" s="499"/>
      <c r="U36" s="204"/>
      <c r="V36" s="204"/>
      <c r="W36" s="204"/>
      <c r="X36" s="204"/>
      <c r="Y36" s="204"/>
      <c r="Z36" s="204"/>
      <c r="AA36" s="204"/>
      <c r="AB36" s="204"/>
      <c r="AC36" s="501"/>
      <c r="AD36" s="501"/>
      <c r="AE36" s="298"/>
      <c r="AF36" s="298"/>
      <c r="AG36" s="298"/>
      <c r="AH36" s="298"/>
      <c r="AI36" s="501"/>
      <c r="AJ36" s="501"/>
      <c r="AK36" s="501"/>
      <c r="AL36" s="501"/>
      <c r="AM36" s="502"/>
      <c r="AN36" s="502"/>
      <c r="AO36" s="502"/>
      <c r="AP36" s="502"/>
      <c r="AQ36" s="502"/>
      <c r="AR36" s="502"/>
      <c r="AS36" s="500"/>
      <c r="AT36" s="500"/>
      <c r="AU36" s="298"/>
      <c r="AV36" s="500"/>
      <c r="AW36" s="500"/>
      <c r="AX36" s="298"/>
      <c r="AY36" s="409"/>
      <c r="AZ36" s="300" t="s">
        <v>136</v>
      </c>
      <c r="BA36" s="296" t="s">
        <v>593</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81"/>
      <c r="CV36" s="81"/>
      <c r="CW36" s="81"/>
    </row>
    <row r="37" spans="1:101" ht="12" customHeight="1" x14ac:dyDescent="0.2">
      <c r="A37" s="294"/>
      <c r="B37" s="294"/>
      <c r="C37" s="292"/>
      <c r="D37" s="500"/>
      <c r="E37" s="298"/>
      <c r="F37" s="298"/>
      <c r="G37" s="298"/>
      <c r="H37" s="298"/>
      <c r="I37" s="298"/>
      <c r="J37" s="298"/>
      <c r="K37" s="298"/>
      <c r="L37" s="298"/>
      <c r="M37" s="298"/>
      <c r="N37" s="298"/>
      <c r="O37" s="298"/>
      <c r="P37" s="298"/>
      <c r="Q37" s="298"/>
      <c r="R37" s="298"/>
      <c r="S37" s="298"/>
      <c r="T37" s="298"/>
      <c r="U37" s="298"/>
      <c r="V37" s="298"/>
      <c r="W37" s="298"/>
      <c r="X37" s="298"/>
      <c r="Y37" s="501"/>
      <c r="Z37" s="298"/>
      <c r="AA37" s="298"/>
      <c r="AB37" s="298"/>
      <c r="AC37" s="607"/>
      <c r="AD37" s="607"/>
      <c r="AE37" s="607"/>
      <c r="AF37" s="607"/>
      <c r="AG37" s="607"/>
      <c r="AH37" s="501"/>
      <c r="AI37" s="502"/>
      <c r="AJ37" s="502"/>
      <c r="AK37" s="502"/>
      <c r="AL37" s="502"/>
      <c r="AM37" s="304"/>
      <c r="AN37" s="304"/>
      <c r="AO37" s="304"/>
      <c r="AP37" s="304"/>
      <c r="AQ37" s="304"/>
      <c r="AR37" s="304"/>
      <c r="AS37" s="304"/>
      <c r="AT37" s="304"/>
      <c r="AU37" s="298"/>
      <c r="AV37" s="298"/>
      <c r="AW37" s="298"/>
      <c r="AX37" s="298"/>
      <c r="AY37" s="409"/>
      <c r="AZ37" s="503"/>
      <c r="BA37" s="504"/>
      <c r="BB37" s="505"/>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row>
    <row r="38" spans="1:101" ht="24.6" customHeight="1" x14ac:dyDescent="0.2">
      <c r="A38" s="294"/>
      <c r="B38" s="294"/>
      <c r="C38" s="292"/>
      <c r="D38" s="498" t="str">
        <f>D11 &amp; " (W4,4)"</f>
        <v xml:space="preserve">    Industrias manufactureras (CIIU 10-33) (W4,4)</v>
      </c>
      <c r="E38" s="298"/>
      <c r="F38" s="298"/>
      <c r="G38" s="298"/>
      <c r="H38" s="298"/>
      <c r="I38" s="298"/>
      <c r="J38" s="871" t="str">
        <f>D8 &amp; " (W4,1)"</f>
        <v>Total de aguas residuales generadas (W4,1)</v>
      </c>
      <c r="K38" s="851"/>
      <c r="L38" s="851"/>
      <c r="M38" s="851"/>
      <c r="N38" s="852"/>
      <c r="O38" s="298"/>
      <c r="P38" s="298"/>
      <c r="Q38" s="298"/>
      <c r="R38" s="298"/>
      <c r="S38" s="298"/>
      <c r="T38" s="298"/>
      <c r="U38" s="875" t="str">
        <f>D21&amp; " (W4,14)"</f>
        <v>Aguas residuales tratadas en otras plantas de tratamiento (W4,14)</v>
      </c>
      <c r="V38" s="876"/>
      <c r="W38" s="876"/>
      <c r="X38" s="876"/>
      <c r="Y38" s="876"/>
      <c r="Z38" s="876"/>
      <c r="AA38" s="876"/>
      <c r="AB38" s="877"/>
      <c r="AC38" s="607"/>
      <c r="AD38" s="607"/>
      <c r="AE38" s="607"/>
      <c r="AF38" s="607"/>
      <c r="AG38" s="607"/>
      <c r="AH38" s="501"/>
      <c r="AI38" s="501"/>
      <c r="AJ38" s="501"/>
      <c r="AK38" s="501"/>
      <c r="AL38" s="501"/>
      <c r="AM38" s="502"/>
      <c r="AN38" s="502"/>
      <c r="AO38" s="502"/>
      <c r="AP38" s="502"/>
      <c r="AQ38" s="502"/>
      <c r="AR38" s="502"/>
      <c r="AS38" s="502"/>
      <c r="AT38" s="502"/>
      <c r="AU38" s="298"/>
      <c r="AV38" s="500"/>
      <c r="AW38" s="500"/>
      <c r="AX38" s="298"/>
      <c r="AY38" s="409"/>
      <c r="AZ38" s="81">
        <v>14</v>
      </c>
      <c r="BA38" s="261" t="s">
        <v>468</v>
      </c>
      <c r="BB38" s="81" t="s">
        <v>200</v>
      </c>
      <c r="BC38" s="114">
        <f>F17</f>
        <v>0</v>
      </c>
      <c r="BD38" s="114"/>
      <c r="BE38" s="114">
        <f>H17</f>
        <v>0</v>
      </c>
      <c r="BF38" s="114"/>
      <c r="BG38" s="114">
        <f>J17</f>
        <v>0</v>
      </c>
      <c r="BH38" s="114"/>
      <c r="BI38" s="114">
        <f>L17</f>
        <v>0</v>
      </c>
      <c r="BJ38" s="114"/>
      <c r="BK38" s="114">
        <f>N17</f>
        <v>0</v>
      </c>
      <c r="BL38" s="114"/>
      <c r="BM38" s="114">
        <f>P17</f>
        <v>0</v>
      </c>
      <c r="BN38" s="114"/>
      <c r="BO38" s="114">
        <f>R17</f>
        <v>0</v>
      </c>
      <c r="BP38" s="114"/>
      <c r="BQ38" s="114">
        <f>T17</f>
        <v>0</v>
      </c>
      <c r="BR38" s="114"/>
      <c r="BS38" s="114">
        <f>V17</f>
        <v>0</v>
      </c>
      <c r="BT38" s="114"/>
      <c r="BU38" s="114">
        <f>X17</f>
        <v>3975</v>
      </c>
      <c r="BV38" s="114"/>
      <c r="BW38" s="114">
        <f>Z17</f>
        <v>3959</v>
      </c>
      <c r="BX38" s="114"/>
      <c r="BY38" s="114">
        <f>AB17</f>
        <v>3944</v>
      </c>
      <c r="BZ38" s="114"/>
      <c r="CA38" s="114">
        <f>AD17</f>
        <v>3935</v>
      </c>
      <c r="CB38" s="114"/>
      <c r="CC38" s="114">
        <f>AF17</f>
        <v>3979</v>
      </c>
      <c r="CD38" s="114"/>
      <c r="CE38" s="114">
        <f>AH17</f>
        <v>0</v>
      </c>
      <c r="CF38" s="114"/>
      <c r="CG38" s="114">
        <f>AJ17</f>
        <v>0</v>
      </c>
      <c r="CH38" s="114"/>
      <c r="CI38" s="114">
        <f>AL17</f>
        <v>0</v>
      </c>
      <c r="CJ38" s="114"/>
      <c r="CK38" s="114">
        <f>AN17</f>
        <v>0</v>
      </c>
      <c r="CL38" s="114"/>
      <c r="CM38" s="114">
        <f>AP17</f>
        <v>0</v>
      </c>
      <c r="CN38" s="114"/>
      <c r="CO38" s="114">
        <f>AR17</f>
        <v>0</v>
      </c>
      <c r="CP38" s="114"/>
      <c r="CQ38" s="114">
        <f>AT17</f>
        <v>0</v>
      </c>
      <c r="CR38" s="114"/>
      <c r="CS38" s="114">
        <f>AV17</f>
        <v>0</v>
      </c>
      <c r="CT38" s="114"/>
      <c r="CU38" s="114"/>
      <c r="CV38" s="114"/>
      <c r="CW38" s="114"/>
    </row>
    <row r="39" spans="1:101" ht="6" customHeight="1" x14ac:dyDescent="0.2">
      <c r="A39" s="294"/>
      <c r="B39" s="294"/>
      <c r="C39" s="292"/>
      <c r="D39" s="500"/>
      <c r="E39" s="298"/>
      <c r="F39" s="298"/>
      <c r="G39" s="298"/>
      <c r="H39" s="298"/>
      <c r="I39" s="298"/>
      <c r="J39" s="872"/>
      <c r="K39" s="873"/>
      <c r="L39" s="873"/>
      <c r="M39" s="873"/>
      <c r="N39" s="874"/>
      <c r="O39" s="298"/>
      <c r="P39" s="298"/>
      <c r="Q39" s="298"/>
      <c r="R39" s="298"/>
      <c r="S39" s="298"/>
      <c r="T39" s="298"/>
      <c r="U39" s="298"/>
      <c r="V39" s="298"/>
      <c r="W39" s="298"/>
      <c r="X39" s="501"/>
      <c r="Y39" s="502"/>
      <c r="Z39" s="607"/>
      <c r="AA39" s="607"/>
      <c r="AB39" s="607"/>
      <c r="AC39" s="607"/>
      <c r="AD39" s="607"/>
      <c r="AE39" s="607"/>
      <c r="AF39" s="607"/>
      <c r="AG39" s="607"/>
      <c r="AH39" s="501"/>
      <c r="AI39" s="309"/>
      <c r="AJ39" s="311"/>
      <c r="AK39" s="311"/>
      <c r="AL39" s="311"/>
      <c r="AM39" s="304"/>
      <c r="AN39" s="304"/>
      <c r="AO39" s="304"/>
      <c r="AP39" s="304"/>
      <c r="AQ39" s="304"/>
      <c r="AR39" s="304"/>
      <c r="AS39" s="304"/>
      <c r="AT39" s="304"/>
      <c r="AU39" s="298"/>
      <c r="AV39" s="298"/>
      <c r="AW39" s="298"/>
      <c r="AX39" s="298"/>
      <c r="AY39" s="409"/>
      <c r="AZ39" s="506"/>
      <c r="BA39" s="505"/>
      <c r="BB39" s="507"/>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row>
    <row r="40" spans="1:101" ht="23.1" customHeight="1" x14ac:dyDescent="0.2">
      <c r="A40" s="294"/>
      <c r="B40" s="294"/>
      <c r="C40" s="292"/>
      <c r="D40" s="498" t="str">
        <f>D12 &amp; " (W4,5)"</f>
        <v xml:space="preserve">    Suministro de electricidad, gas, vapor y aire acondicionado (CIIU 35) (W4,5)</v>
      </c>
      <c r="E40" s="298"/>
      <c r="F40" s="298"/>
      <c r="G40" s="298"/>
      <c r="H40" s="298"/>
      <c r="I40" s="298"/>
      <c r="J40" s="872"/>
      <c r="K40" s="873"/>
      <c r="L40" s="873"/>
      <c r="M40" s="873"/>
      <c r="N40" s="874"/>
      <c r="O40" s="298"/>
      <c r="P40" s="298"/>
      <c r="Q40" s="298"/>
      <c r="R40" s="298"/>
      <c r="S40" s="298"/>
      <c r="T40" s="298"/>
      <c r="U40" s="204"/>
      <c r="V40" s="204"/>
      <c r="W40" s="204"/>
      <c r="X40" s="204"/>
      <c r="Y40" s="204"/>
      <c r="Z40" s="204"/>
      <c r="AA40" s="204"/>
      <c r="AB40" s="204"/>
      <c r="AC40" s="607"/>
      <c r="AD40" s="607"/>
      <c r="AE40" s="607"/>
      <c r="AF40" s="607"/>
      <c r="AG40" s="607"/>
      <c r="AH40" s="501"/>
      <c r="AI40" s="218"/>
      <c r="AJ40" s="501"/>
      <c r="AK40" s="501"/>
      <c r="AL40" s="501"/>
      <c r="AM40" s="502"/>
      <c r="AN40" s="502"/>
      <c r="AO40" s="502"/>
      <c r="AP40" s="502"/>
      <c r="AQ40" s="502"/>
      <c r="AR40" s="502"/>
      <c r="AS40" s="502"/>
      <c r="AT40" s="502"/>
      <c r="AU40" s="298"/>
      <c r="AV40" s="500"/>
      <c r="AW40" s="500"/>
      <c r="AX40" s="298"/>
      <c r="AY40" s="409"/>
      <c r="AZ40" s="312">
        <v>23</v>
      </c>
      <c r="BA40" s="509" t="s">
        <v>594</v>
      </c>
      <c r="BB40" s="112" t="s">
        <v>200</v>
      </c>
      <c r="BC40" s="114">
        <f>SUM(F18:F20)</f>
        <v>0</v>
      </c>
      <c r="BD40" s="114"/>
      <c r="BE40" s="114">
        <f>SUM(H18:H20)</f>
        <v>0</v>
      </c>
      <c r="BF40" s="114"/>
      <c r="BG40" s="114">
        <f>SUM(J18:J20)</f>
        <v>0</v>
      </c>
      <c r="BH40" s="114"/>
      <c r="BI40" s="114">
        <f>SUM(L18:L20)</f>
        <v>0</v>
      </c>
      <c r="BJ40" s="114"/>
      <c r="BK40" s="114">
        <f>SUM(N18:N20)</f>
        <v>0</v>
      </c>
      <c r="BL40" s="114"/>
      <c r="BM40" s="114">
        <f>SUM(P18:P20)</f>
        <v>0</v>
      </c>
      <c r="BN40" s="114"/>
      <c r="BO40" s="114">
        <f>SUM(R18:R20)</f>
        <v>0</v>
      </c>
      <c r="BP40" s="114"/>
      <c r="BQ40" s="114">
        <f>SUM(T18:T20)</f>
        <v>0</v>
      </c>
      <c r="BR40" s="114"/>
      <c r="BS40" s="114">
        <f>SUM(V18:V20)</f>
        <v>0</v>
      </c>
      <c r="BT40" s="114"/>
      <c r="BU40" s="114">
        <f>SUM(X18:X20)</f>
        <v>3975</v>
      </c>
      <c r="BV40" s="114"/>
      <c r="BW40" s="114">
        <f>SUM(Z18:Z20)</f>
        <v>3959</v>
      </c>
      <c r="BX40" s="114"/>
      <c r="BY40" s="114">
        <f>SUM(AB18:AB20)</f>
        <v>3944</v>
      </c>
      <c r="BZ40" s="114"/>
      <c r="CA40" s="114">
        <f>SUM(AD18:AD20)</f>
        <v>3935</v>
      </c>
      <c r="CB40" s="114"/>
      <c r="CC40" s="114">
        <f>SUM(AF18:AF20)</f>
        <v>3979</v>
      </c>
      <c r="CD40" s="114"/>
      <c r="CE40" s="114">
        <f>SUM(AH18:AH20)</f>
        <v>0</v>
      </c>
      <c r="CF40" s="114"/>
      <c r="CG40" s="114">
        <f>SUM(AJ18:AJ20)</f>
        <v>0</v>
      </c>
      <c r="CH40" s="114"/>
      <c r="CI40" s="114">
        <f>SUM(AL18:AL20)</f>
        <v>0</v>
      </c>
      <c r="CJ40" s="114"/>
      <c r="CK40" s="114">
        <f>SUM(AN18:AN20)</f>
        <v>0</v>
      </c>
      <c r="CL40" s="114"/>
      <c r="CM40" s="114">
        <f>SUM(AP18:AP20)</f>
        <v>0</v>
      </c>
      <c r="CN40" s="114"/>
      <c r="CO40" s="114">
        <f>SUM(AR18:AR20)</f>
        <v>0</v>
      </c>
      <c r="CP40" s="114"/>
      <c r="CQ40" s="114">
        <f>SUM(AT18:AT20)</f>
        <v>0</v>
      </c>
      <c r="CR40" s="114"/>
      <c r="CS40" s="114">
        <f>SUM(AV18:AV20)</f>
        <v>0</v>
      </c>
      <c r="CT40" s="114"/>
      <c r="CU40" s="114"/>
      <c r="CV40" s="114"/>
      <c r="CW40" s="114"/>
    </row>
    <row r="41" spans="1:101" ht="7.35" customHeight="1" x14ac:dyDescent="0.2">
      <c r="A41" s="294"/>
      <c r="B41" s="294"/>
      <c r="C41" s="292"/>
      <c r="D41" s="304"/>
      <c r="E41" s="298"/>
      <c r="F41" s="298"/>
      <c r="G41" s="298"/>
      <c r="H41" s="298"/>
      <c r="I41" s="298"/>
      <c r="J41" s="811"/>
      <c r="K41" s="812"/>
      <c r="L41" s="812"/>
      <c r="M41" s="812"/>
      <c r="N41" s="813"/>
      <c r="O41" s="298"/>
      <c r="P41" s="298"/>
      <c r="Q41" s="298"/>
      <c r="R41" s="298"/>
      <c r="S41" s="298"/>
      <c r="T41" s="298"/>
      <c r="U41" s="298"/>
      <c r="V41" s="298"/>
      <c r="W41" s="298"/>
      <c r="X41" s="501"/>
      <c r="Y41" s="502"/>
      <c r="Z41" s="607"/>
      <c r="AA41" s="607"/>
      <c r="AB41" s="607"/>
      <c r="AC41" s="501"/>
      <c r="AD41" s="501"/>
      <c r="AE41" s="501"/>
      <c r="AF41" s="501"/>
      <c r="AG41" s="501"/>
      <c r="AH41" s="501"/>
      <c r="AI41" s="510"/>
      <c r="AJ41" s="311"/>
      <c r="AK41" s="311"/>
      <c r="AL41" s="311"/>
      <c r="AM41" s="304"/>
      <c r="AN41" s="304"/>
      <c r="AO41" s="304"/>
      <c r="AP41" s="304"/>
      <c r="AQ41" s="304"/>
      <c r="AR41" s="304"/>
      <c r="AS41" s="304"/>
      <c r="AT41" s="304"/>
      <c r="AU41" s="298"/>
      <c r="AV41" s="298"/>
      <c r="AW41" s="298"/>
      <c r="AX41" s="298"/>
      <c r="AY41" s="508"/>
      <c r="AZ41" s="511"/>
      <c r="BA41" s="504"/>
      <c r="BB41" s="505"/>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row>
    <row r="42" spans="1:101" ht="22.5" customHeight="1" x14ac:dyDescent="0.2">
      <c r="A42" s="294"/>
      <c r="B42" s="294"/>
      <c r="C42" s="292"/>
      <c r="D42" s="498" t="str">
        <f>D14 &amp; " (W4,7)"</f>
        <v xml:space="preserve">    Construcción (W4,7)</v>
      </c>
      <c r="E42" s="298"/>
      <c r="F42" s="298"/>
      <c r="G42" s="298"/>
      <c r="H42" s="298"/>
      <c r="I42" s="298"/>
      <c r="J42" s="591"/>
      <c r="K42" s="591"/>
      <c r="L42" s="591"/>
      <c r="M42" s="591"/>
      <c r="N42" s="591"/>
      <c r="O42" s="298"/>
      <c r="P42" s="298"/>
      <c r="Q42" s="298"/>
      <c r="R42" s="298"/>
      <c r="S42" s="298"/>
      <c r="T42" s="298"/>
      <c r="U42" s="875" t="str">
        <f>D25&amp; " (W4,18)"</f>
        <v>Tratamiento independiente de aguas residuales (W4,18)</v>
      </c>
      <c r="V42" s="876"/>
      <c r="W42" s="876"/>
      <c r="X42" s="876"/>
      <c r="Y42" s="876"/>
      <c r="Z42" s="876"/>
      <c r="AA42" s="876"/>
      <c r="AB42" s="877"/>
      <c r="AC42" s="501"/>
      <c r="AD42" s="501"/>
      <c r="AE42" s="501"/>
      <c r="AF42" s="501"/>
      <c r="AG42" s="501"/>
      <c r="AH42" s="501"/>
      <c r="AI42" s="510"/>
      <c r="AJ42" s="311"/>
      <c r="AK42" s="311"/>
      <c r="AL42" s="311"/>
      <c r="AM42" s="304"/>
      <c r="AN42" s="304"/>
      <c r="AO42" s="304"/>
      <c r="AP42" s="304"/>
      <c r="AQ42" s="304"/>
      <c r="AR42" s="304"/>
      <c r="AS42" s="304"/>
      <c r="AT42" s="304"/>
      <c r="AU42" s="298"/>
      <c r="AV42" s="298"/>
      <c r="AW42" s="298"/>
      <c r="AX42" s="298"/>
      <c r="AY42" s="508"/>
      <c r="AZ42" s="300" t="s">
        <v>136</v>
      </c>
      <c r="BA42" s="296" t="s">
        <v>595</v>
      </c>
      <c r="BB42" s="81"/>
      <c r="BC42" s="112" t="str">
        <f>IF(OR(ISBLANK(F17),ISBLANK(F18),ISBLANK(F19),ISBLANK(F20)),"N/A",IF((BC38=BC40),"ok","&lt;&gt;"))</f>
        <v>N/A</v>
      </c>
      <c r="BD42" s="112"/>
      <c r="BE42" s="112" t="str">
        <f>IF(OR(ISBLANK(H17),ISBLANK(H18),ISBLANK(H19),ISBLANK(H20)),"N/A",IF((BE38=BE40),"ok","&lt;&gt;"))</f>
        <v>N/A</v>
      </c>
      <c r="BF42" s="112"/>
      <c r="BG42" s="112" t="str">
        <f>IF(OR(ISBLANK(J17),ISBLANK(J18),ISBLANK(J19),ISBLANK(J20)),"N/A",IF((BG38=BG40),"ok","&lt;&gt;"))</f>
        <v>N/A</v>
      </c>
      <c r="BH42" s="112"/>
      <c r="BI42" s="112" t="str">
        <f>IF(OR(ISBLANK(L17),ISBLANK(L18),ISBLANK(L19),ISBLANK(L20)),"N/A",IF((BI38=BI40),"ok","&lt;&gt;"))</f>
        <v>N/A</v>
      </c>
      <c r="BJ42" s="112"/>
      <c r="BK42" s="112" t="str">
        <f>IF(OR(ISBLANK(N17),ISBLANK(N18),ISBLANK(N19),ISBLANK(N20)),"N/A",IF((BK38=BK40),"ok","&lt;&gt;"))</f>
        <v>N/A</v>
      </c>
      <c r="BL42" s="112"/>
      <c r="BM42" s="112" t="str">
        <f>IF(OR(ISBLANK(P17),ISBLANK(P18),ISBLANK(P19),ISBLANK(P20)),"N/A",IF((BM38=BM40),"ok","&lt;&gt;"))</f>
        <v>N/A</v>
      </c>
      <c r="BN42" s="112"/>
      <c r="BO42" s="112" t="str">
        <f>IF(OR(ISBLANK(R17),ISBLANK(R18),ISBLANK(R19),ISBLANK(R20)),"N/A",IF((BO38=BO40),"ok","&lt;&gt;"))</f>
        <v>N/A</v>
      </c>
      <c r="BP42" s="112"/>
      <c r="BQ42" s="112" t="str">
        <f>IF(OR(ISBLANK(T17),ISBLANK(T18),ISBLANK(T19),ISBLANK(T20)),"N/A",IF((BQ38=BQ40),"ok","&lt;&gt;"))</f>
        <v>N/A</v>
      </c>
      <c r="BR42" s="112"/>
      <c r="BS42" s="112" t="str">
        <f>IF(OR(ISBLANK(V17),ISBLANK(V18),ISBLANK(V19),ISBLANK(V20)),"N/A",IF((BS38=BS40),"ok","&lt;&gt;"))</f>
        <v>N/A</v>
      </c>
      <c r="BT42" s="112"/>
      <c r="BU42" s="112" t="str">
        <f>IF(OR(ISBLANK(X17),ISBLANK(X18),ISBLANK(X19),ISBLANK(X20)),"N/A",IF((BU38=BU40),"ok","&lt;&gt;"))</f>
        <v>N/A</v>
      </c>
      <c r="BV42" s="112"/>
      <c r="BW42" s="112" t="str">
        <f>IF(OR(ISBLANK(Z17),ISBLANK(Z18),ISBLANK(Z19),ISBLANK(Z20)),"N/A",IF((BW38=BW40),"ok","&lt;&gt;"))</f>
        <v>N/A</v>
      </c>
      <c r="BX42" s="112"/>
      <c r="BY42" s="112" t="str">
        <f>IF(OR(ISBLANK(AB17),ISBLANK(AB18),ISBLANK(AB19),ISBLANK(AB20)),"N/A",IF((BY38=BY40),"ok","&lt;&gt;"))</f>
        <v>N/A</v>
      </c>
      <c r="BZ42" s="112"/>
      <c r="CA42" s="112" t="str">
        <f>IF(OR(ISBLANK(AD17),ISBLANK(AD18),ISBLANK(AD19),ISBLANK(AD20)),"N/A",IF((CA38=CA40),"ok","&lt;&gt;"))</f>
        <v>N/A</v>
      </c>
      <c r="CB42" s="112"/>
      <c r="CC42" s="112" t="str">
        <f>IF(OR(ISBLANK(AF17),ISBLANK(AF18),ISBLANK(AF19),ISBLANK(AF20)),"N/A",IF((CC38=CC40),"ok","&lt;&gt;"))</f>
        <v>N/A</v>
      </c>
      <c r="CD42" s="112"/>
      <c r="CE42" s="112" t="str">
        <f>IF(OR(ISBLANK(AH17),ISBLANK(AH18),ISBLANK(AH19),ISBLANK(AH20)),"N/A",IF((CE38=CE40),"ok","&lt;&gt;"))</f>
        <v>N/A</v>
      </c>
      <c r="CF42" s="112"/>
      <c r="CG42" s="112" t="str">
        <f>IF(OR(ISBLANK(AJ17),ISBLANK(AJ18),ISBLANK(AJ19),ISBLANK(AJ20)),"N/A",IF((CG38=CG40),"ok","&lt;&gt;"))</f>
        <v>N/A</v>
      </c>
      <c r="CH42" s="112"/>
      <c r="CI42" s="112" t="str">
        <f>IF(OR(ISBLANK(AL17),ISBLANK(AL18),ISBLANK(AL19),ISBLANK(AL20)),"N/A",IF((CI38=CI40),"ok","&lt;&gt;"))</f>
        <v>N/A</v>
      </c>
      <c r="CJ42" s="112"/>
      <c r="CK42" s="112" t="str">
        <f>IF(OR(ISBLANK(AN17),ISBLANK(AN18),ISBLANK(AN19),ISBLANK(AN20)),"N/A",IF((CK38=CK40),"ok","&lt;&gt;"))</f>
        <v>N/A</v>
      </c>
      <c r="CL42" s="112"/>
      <c r="CM42" s="112" t="str">
        <f>IF(OR(ISBLANK(AP17),ISBLANK(AP18),ISBLANK(AP19),ISBLANK(AP20)),"N/A",IF((CM38=CM40),"ok","&lt;&gt;"))</f>
        <v>N/A</v>
      </c>
      <c r="CN42" s="112"/>
      <c r="CO42" s="112" t="str">
        <f>IF(OR(ISBLANK(AR17),ISBLANK(AR18),ISBLANK(AR19),ISBLANK(AR20)),"N/A",IF((CO38=CO40),"ok","&lt;&gt;"))</f>
        <v>N/A</v>
      </c>
      <c r="CP42" s="112"/>
      <c r="CQ42" s="112" t="str">
        <f>IF(OR(ISBLANK(AT17),ISBLANK(AT18),ISBLANK(AT19),ISBLANK(AT20)),"N/A",IF((CQ38=CQ40),"ok","&lt;&gt;"))</f>
        <v>N/A</v>
      </c>
      <c r="CR42" s="112"/>
      <c r="CS42" s="112" t="str">
        <f>IF(OR(ISBLANK(AV17),ISBLANK(AV18),ISBLANK(AV19),ISBLANK(AV20)),"N/A",IF((CS38=CS40),"ok","&lt;&gt;"))</f>
        <v>N/A</v>
      </c>
      <c r="CT42" s="112"/>
      <c r="CU42" s="112"/>
      <c r="CV42" s="112"/>
      <c r="CW42" s="112"/>
    </row>
    <row r="43" spans="1:101" ht="7.35" customHeight="1" x14ac:dyDescent="0.2">
      <c r="A43" s="294"/>
      <c r="B43" s="294"/>
      <c r="C43" s="292"/>
      <c r="D43" s="304"/>
      <c r="E43" s="298"/>
      <c r="F43" s="298"/>
      <c r="G43" s="298"/>
      <c r="H43" s="298"/>
      <c r="I43" s="298"/>
      <c r="J43" s="591"/>
      <c r="K43" s="591"/>
      <c r="L43" s="591"/>
      <c r="M43" s="591"/>
      <c r="N43" s="591"/>
      <c r="O43" s="298"/>
      <c r="P43" s="298"/>
      <c r="Q43" s="298"/>
      <c r="R43" s="298"/>
      <c r="S43" s="298"/>
      <c r="T43" s="298"/>
      <c r="U43" s="298"/>
      <c r="V43" s="298"/>
      <c r="W43" s="298"/>
      <c r="X43" s="298"/>
      <c r="Y43" s="298"/>
      <c r="Z43" s="298"/>
      <c r="AA43" s="298"/>
      <c r="AB43" s="298"/>
      <c r="AC43" s="501"/>
      <c r="AD43" s="501"/>
      <c r="AE43" s="501"/>
      <c r="AF43" s="501"/>
      <c r="AG43" s="501"/>
      <c r="AH43" s="501"/>
      <c r="AI43" s="510"/>
      <c r="AJ43" s="311"/>
      <c r="AK43" s="311"/>
      <c r="AL43" s="311"/>
      <c r="AM43" s="304"/>
      <c r="AN43" s="304"/>
      <c r="AO43" s="304"/>
      <c r="AP43" s="304"/>
      <c r="AQ43" s="304"/>
      <c r="AR43" s="304"/>
      <c r="AS43" s="304"/>
      <c r="AT43" s="304"/>
      <c r="AU43" s="298"/>
      <c r="AV43" s="298"/>
      <c r="AW43" s="298"/>
      <c r="AX43" s="298"/>
      <c r="AY43" s="508"/>
      <c r="AZ43" s="513"/>
      <c r="BA43" s="505"/>
      <c r="BB43" s="505"/>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row>
    <row r="44" spans="1:101" ht="22.5" customHeight="1" x14ac:dyDescent="0.2">
      <c r="A44" s="294"/>
      <c r="B44" s="294"/>
      <c r="C44" s="292"/>
      <c r="D44" s="498" t="str">
        <f>D15 &amp; " (W4,8)"</f>
        <v xml:space="preserve">    Otras actividades económicas (W4,8)</v>
      </c>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501"/>
      <c r="AD44" s="501"/>
      <c r="AE44" s="501"/>
      <c r="AF44" s="501"/>
      <c r="AG44" s="501"/>
      <c r="AH44" s="501"/>
      <c r="AI44" s="510"/>
      <c r="AJ44" s="311"/>
      <c r="AK44" s="311"/>
      <c r="AL44" s="311"/>
      <c r="AM44" s="304"/>
      <c r="AN44" s="304"/>
      <c r="AO44" s="304"/>
      <c r="AP44" s="304"/>
      <c r="AQ44" s="304"/>
      <c r="AR44" s="304"/>
      <c r="AS44" s="304"/>
      <c r="AT44" s="304"/>
      <c r="AU44" s="298"/>
      <c r="AV44" s="298"/>
      <c r="AW44" s="298"/>
      <c r="AX44" s="298"/>
      <c r="AY44" s="508"/>
      <c r="AZ44" s="81">
        <v>11</v>
      </c>
      <c r="BA44" s="261" t="s">
        <v>463</v>
      </c>
      <c r="BB44" s="112" t="s">
        <v>200</v>
      </c>
      <c r="BC44" s="114">
        <f>F21</f>
        <v>0</v>
      </c>
      <c r="BD44" s="114"/>
      <c r="BE44" s="114">
        <f>H21</f>
        <v>0</v>
      </c>
      <c r="BF44" s="114"/>
      <c r="BG44" s="114">
        <f>J21</f>
        <v>0</v>
      </c>
      <c r="BH44" s="114"/>
      <c r="BI44" s="114">
        <f>L21</f>
        <v>0</v>
      </c>
      <c r="BJ44" s="114"/>
      <c r="BK44" s="114">
        <f>N21</f>
        <v>0</v>
      </c>
      <c r="BL44" s="114"/>
      <c r="BM44" s="114">
        <f>P21</f>
        <v>0</v>
      </c>
      <c r="BN44" s="114"/>
      <c r="BO44" s="114">
        <f>R21</f>
        <v>0</v>
      </c>
      <c r="BP44" s="114"/>
      <c r="BQ44" s="114">
        <f>T21</f>
        <v>0</v>
      </c>
      <c r="BR44" s="114"/>
      <c r="BS44" s="114">
        <f>V21</f>
        <v>0</v>
      </c>
      <c r="BT44" s="114"/>
      <c r="BU44" s="114">
        <f>X21</f>
        <v>1325</v>
      </c>
      <c r="BV44" s="114"/>
      <c r="BW44" s="114">
        <f>Z21</f>
        <v>1320</v>
      </c>
      <c r="BX44" s="114"/>
      <c r="BY44" s="114">
        <f>AB21</f>
        <v>1315</v>
      </c>
      <c r="BZ44" s="114"/>
      <c r="CA44" s="114">
        <f>AD21</f>
        <v>1312</v>
      </c>
      <c r="CB44" s="114"/>
      <c r="CC44" s="114">
        <f>AF21</f>
        <v>1326</v>
      </c>
      <c r="CD44" s="114"/>
      <c r="CE44" s="114">
        <f>AH21</f>
        <v>0</v>
      </c>
      <c r="CF44" s="114"/>
      <c r="CG44" s="114">
        <f>AJ21</f>
        <v>0</v>
      </c>
      <c r="CH44" s="114"/>
      <c r="CI44" s="114">
        <f>AL21</f>
        <v>0</v>
      </c>
      <c r="CJ44" s="114"/>
      <c r="CK44" s="114">
        <f>AN21</f>
        <v>0</v>
      </c>
      <c r="CL44" s="114"/>
      <c r="CM44" s="114">
        <f>AP21</f>
        <v>0</v>
      </c>
      <c r="CN44" s="114"/>
      <c r="CO44" s="114">
        <f>AR21</f>
        <v>0</v>
      </c>
      <c r="CP44" s="114"/>
      <c r="CQ44" s="114">
        <f>AT21</f>
        <v>0</v>
      </c>
      <c r="CR44" s="114"/>
      <c r="CS44" s="114">
        <f>AV21</f>
        <v>0</v>
      </c>
      <c r="CT44" s="114"/>
      <c r="CU44" s="114"/>
      <c r="CV44" s="114"/>
      <c r="CW44" s="114"/>
    </row>
    <row r="45" spans="1:101" ht="7.35" customHeight="1" x14ac:dyDescent="0.2">
      <c r="A45" s="294"/>
      <c r="B45" s="294"/>
      <c r="C45" s="292"/>
      <c r="D45" s="512"/>
      <c r="E45" s="298"/>
      <c r="F45" s="298"/>
      <c r="G45" s="298"/>
      <c r="H45" s="298"/>
      <c r="I45" s="298"/>
      <c r="J45" s="298"/>
      <c r="K45" s="298"/>
      <c r="L45" s="298"/>
      <c r="M45" s="298"/>
      <c r="N45" s="298"/>
      <c r="O45" s="298"/>
      <c r="P45" s="298"/>
      <c r="Q45" s="298"/>
      <c r="R45" s="298"/>
      <c r="S45" s="298"/>
      <c r="T45" s="298"/>
      <c r="U45" s="204"/>
      <c r="V45" s="204"/>
      <c r="W45" s="204"/>
      <c r="X45" s="204"/>
      <c r="Y45" s="204"/>
      <c r="Z45" s="204"/>
      <c r="AA45" s="204"/>
      <c r="AB45" s="204"/>
      <c r="AC45" s="501"/>
      <c r="AD45" s="501"/>
      <c r="AE45" s="298"/>
      <c r="AF45" s="298"/>
      <c r="AG45" s="298"/>
      <c r="AH45" s="298"/>
      <c r="AI45" s="298"/>
      <c r="AJ45" s="298"/>
      <c r="AK45" s="298"/>
      <c r="AL45" s="298"/>
      <c r="AM45" s="298"/>
      <c r="AN45" s="298"/>
      <c r="AO45" s="298"/>
      <c r="AP45" s="298"/>
      <c r="AQ45" s="298"/>
      <c r="AR45" s="298"/>
      <c r="AS45" s="298"/>
      <c r="AT45" s="298"/>
      <c r="AU45" s="298"/>
      <c r="AV45" s="298"/>
      <c r="AW45" s="298"/>
      <c r="AX45" s="298"/>
      <c r="AY45" s="508"/>
      <c r="AZ45" s="676"/>
      <c r="BA45" s="677"/>
      <c r="BB45" s="678"/>
      <c r="BC45" s="679"/>
      <c r="BD45" s="679"/>
      <c r="BE45" s="679"/>
      <c r="BF45" s="679"/>
      <c r="BG45" s="679"/>
      <c r="BH45" s="679"/>
      <c r="BI45" s="679"/>
      <c r="BJ45" s="679"/>
      <c r="BK45" s="679"/>
      <c r="BL45" s="679"/>
      <c r="BM45" s="679"/>
      <c r="BN45" s="679"/>
      <c r="BO45" s="679"/>
      <c r="BP45" s="679"/>
      <c r="BQ45" s="679"/>
      <c r="BR45" s="679"/>
      <c r="BS45" s="679"/>
      <c r="BT45" s="679"/>
      <c r="BU45" s="679"/>
      <c r="BV45" s="679"/>
      <c r="BW45" s="679"/>
      <c r="BX45" s="679"/>
      <c r="BY45" s="679"/>
      <c r="BZ45" s="679"/>
      <c r="CA45" s="679"/>
      <c r="CB45" s="679"/>
      <c r="CC45" s="679"/>
      <c r="CD45" s="679"/>
      <c r="CE45" s="679"/>
      <c r="CF45" s="679"/>
      <c r="CG45" s="679"/>
      <c r="CH45" s="679"/>
      <c r="CI45" s="679"/>
      <c r="CJ45" s="679"/>
      <c r="CK45" s="679"/>
      <c r="CL45" s="679"/>
      <c r="CM45" s="679"/>
      <c r="CN45" s="679"/>
      <c r="CO45" s="679"/>
      <c r="CP45" s="679"/>
      <c r="CQ45" s="679"/>
      <c r="CR45" s="679"/>
      <c r="CS45" s="679"/>
      <c r="CT45" s="679"/>
      <c r="CU45" s="679"/>
      <c r="CV45" s="679"/>
      <c r="CW45" s="679"/>
    </row>
    <row r="46" spans="1:101" s="213" customFormat="1" ht="18.95" customHeight="1" x14ac:dyDescent="0.2">
      <c r="A46" s="191"/>
      <c r="B46" s="192"/>
      <c r="C46" s="412"/>
      <c r="D46" s="498" t="str">
        <f>D16 &amp; " (W4,6)"</f>
        <v xml:space="preserve">    Hogares (W4,6)</v>
      </c>
      <c r="E46" s="298"/>
      <c r="F46" s="298"/>
      <c r="G46" s="298"/>
      <c r="H46" s="298"/>
      <c r="I46" s="298"/>
      <c r="J46" s="298"/>
      <c r="K46" s="298"/>
      <c r="L46" s="298"/>
      <c r="M46" s="298"/>
      <c r="N46" s="298"/>
      <c r="O46" s="298"/>
      <c r="P46" s="298"/>
      <c r="Q46" s="298"/>
      <c r="R46" s="298"/>
      <c r="S46" s="298"/>
      <c r="T46" s="298"/>
      <c r="U46" s="875" t="str">
        <f>D26&amp; " (W4,19)"</f>
        <v>Aguas residuales no tratadas (W4,19)</v>
      </c>
      <c r="V46" s="876"/>
      <c r="W46" s="876"/>
      <c r="X46" s="876"/>
      <c r="Y46" s="876"/>
      <c r="Z46" s="876"/>
      <c r="AA46" s="876"/>
      <c r="AB46" s="877"/>
      <c r="AC46" s="501"/>
      <c r="AD46" s="298"/>
      <c r="AE46" s="298"/>
      <c r="AF46" s="298"/>
      <c r="AG46" s="298"/>
      <c r="AH46" s="298"/>
      <c r="AI46" s="298"/>
      <c r="AJ46" s="298"/>
      <c r="AK46" s="298"/>
      <c r="AL46" s="298"/>
      <c r="AM46" s="298"/>
      <c r="AN46" s="298"/>
      <c r="AO46" s="298"/>
      <c r="AP46" s="298"/>
      <c r="AQ46" s="298"/>
      <c r="AR46" s="298"/>
      <c r="AS46" s="298"/>
      <c r="AT46" s="298"/>
      <c r="AU46" s="472"/>
      <c r="AV46" s="298"/>
      <c r="AW46" s="298"/>
      <c r="AX46" s="472"/>
      <c r="AY46" s="202"/>
      <c r="AZ46" s="312">
        <v>24</v>
      </c>
      <c r="BA46" s="296" t="s">
        <v>596</v>
      </c>
      <c r="BB46" s="81" t="s">
        <v>200</v>
      </c>
      <c r="BC46" s="114">
        <f>SUM(F22:F24)</f>
        <v>0</v>
      </c>
      <c r="BD46" s="114"/>
      <c r="BE46" s="114">
        <f>SUM(H22:H24)</f>
        <v>0</v>
      </c>
      <c r="BF46" s="114"/>
      <c r="BG46" s="114">
        <f>SUM(J22:J24)</f>
        <v>0</v>
      </c>
      <c r="BH46" s="114"/>
      <c r="BI46" s="114">
        <f>SUM(L22:L24)</f>
        <v>0</v>
      </c>
      <c r="BJ46" s="114"/>
      <c r="BK46" s="114">
        <f>SUM(N22:N24)</f>
        <v>0</v>
      </c>
      <c r="BL46" s="114"/>
      <c r="BM46" s="114">
        <f>SUM(P22:P24)</f>
        <v>0</v>
      </c>
      <c r="BN46" s="114"/>
      <c r="BO46" s="114">
        <f>SUM(R22:R24)</f>
        <v>0</v>
      </c>
      <c r="BP46" s="114"/>
      <c r="BQ46" s="114">
        <f>SUM(T22:T24)</f>
        <v>0</v>
      </c>
      <c r="BR46" s="114"/>
      <c r="BS46" s="114">
        <f>SUM(V22:V24)</f>
        <v>0</v>
      </c>
      <c r="BT46" s="114"/>
      <c r="BU46" s="114">
        <f>SUM(X22:X24)</f>
        <v>0</v>
      </c>
      <c r="BV46" s="114"/>
      <c r="BW46" s="114">
        <f>SUM(Z22:Z24)</f>
        <v>0</v>
      </c>
      <c r="BX46" s="114"/>
      <c r="BY46" s="114">
        <f>SUM(AB22:AB24)</f>
        <v>0</v>
      </c>
      <c r="BZ46" s="114"/>
      <c r="CA46" s="114">
        <f>SUM(AD22:AD24)</f>
        <v>0</v>
      </c>
      <c r="CB46" s="114"/>
      <c r="CC46" s="114">
        <f>SUM(AF22:AF24)</f>
        <v>0</v>
      </c>
      <c r="CD46" s="114"/>
      <c r="CE46" s="114">
        <f>SUM(AH22:AH24)</f>
        <v>0</v>
      </c>
      <c r="CF46" s="114"/>
      <c r="CG46" s="114">
        <f>SUM(AJ22:AJ24)</f>
        <v>0</v>
      </c>
      <c r="CH46" s="114"/>
      <c r="CI46" s="114">
        <f>SUM(AL22:AL24)</f>
        <v>0</v>
      </c>
      <c r="CJ46" s="114"/>
      <c r="CK46" s="114">
        <f>SUM(AN22:AN24)</f>
        <v>0</v>
      </c>
      <c r="CL46" s="114"/>
      <c r="CM46" s="114">
        <f>SUM(AP22:AP24)</f>
        <v>0</v>
      </c>
      <c r="CN46" s="114"/>
      <c r="CO46" s="114">
        <f>SUM(AR22:AR24)</f>
        <v>0</v>
      </c>
      <c r="CP46" s="114"/>
      <c r="CQ46" s="114">
        <f>SUM(AT22:AT24)</f>
        <v>0</v>
      </c>
      <c r="CR46" s="114"/>
      <c r="CS46" s="114">
        <f>SUM(AV22:AV24)</f>
        <v>0</v>
      </c>
      <c r="CT46" s="114"/>
      <c r="CU46" s="114"/>
      <c r="CV46" s="114"/>
      <c r="CW46" s="114"/>
    </row>
    <row r="47" spans="1:101" s="213" customFormat="1" ht="18.95" customHeight="1" x14ac:dyDescent="0.2">
      <c r="A47" s="191"/>
      <c r="B47" s="192"/>
      <c r="C47" s="412"/>
      <c r="D47" s="497"/>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472"/>
      <c r="AV47" s="298"/>
      <c r="AW47" s="298"/>
      <c r="AX47" s="472"/>
      <c r="AY47" s="202"/>
      <c r="AZ47" s="329" t="s">
        <v>136</v>
      </c>
      <c r="BA47" s="330" t="s">
        <v>175</v>
      </c>
      <c r="BB47" s="96"/>
      <c r="BC47" s="514" t="str">
        <f>IF(OR(ISBLANK(F21),ISBLANK(F22),ISBLANK(F23),ISBLANK(F24)),"N/A",IF((BC44=BC46),"ok","&lt;&gt;"))</f>
        <v>N/A</v>
      </c>
      <c r="BD47" s="514"/>
      <c r="BE47" s="514" t="str">
        <f>IF(OR(ISBLANK(H21),ISBLANK(H22),ISBLANK(H23),ISBLANK(H24)),"N/A",IF((BE44=BE46),"ok","&lt;&gt;"))</f>
        <v>N/A</v>
      </c>
      <c r="BF47" s="514"/>
      <c r="BG47" s="514" t="str">
        <f>IF(OR(ISBLANK(J21),ISBLANK(J22),ISBLANK(J23),ISBLANK(J24)),"N/A",IF((BG44=BG46),"ok","&lt;&gt;"))</f>
        <v>N/A</v>
      </c>
      <c r="BH47" s="514"/>
      <c r="BI47" s="514" t="str">
        <f>IF(OR(ISBLANK(L21),ISBLANK(L22),ISBLANK(L23),ISBLANK(L24)),"N/A",IF((BI44=BI46),"ok","&lt;&gt;"))</f>
        <v>N/A</v>
      </c>
      <c r="BJ47" s="514"/>
      <c r="BK47" s="514" t="str">
        <f>IF(OR(ISBLANK(N21),ISBLANK(N22),ISBLANK(N23),ISBLANK(N24)),"N/A",IF((BK44=BK46),"ok","&lt;&gt;"))</f>
        <v>N/A</v>
      </c>
      <c r="BL47" s="514"/>
      <c r="BM47" s="514" t="str">
        <f>IF(OR(ISBLANK(P21),ISBLANK(P22),ISBLANK(P23),ISBLANK(P24)),"N/A",IF((BM44=BM46),"ok","&lt;&gt;"))</f>
        <v>N/A</v>
      </c>
      <c r="BN47" s="514"/>
      <c r="BO47" s="514" t="str">
        <f>IF(OR(ISBLANK(R21),ISBLANK(R22),ISBLANK(R23),ISBLANK(R24)),"N/A",IF((BO44=BO46),"ok","&lt;&gt;"))</f>
        <v>N/A</v>
      </c>
      <c r="BP47" s="514"/>
      <c r="BQ47" s="514" t="str">
        <f>IF(OR(ISBLANK(T21),ISBLANK(T22),ISBLANK(T23),ISBLANK(T24)),"N/A",IF((BQ44=BQ46),"ok","&lt;&gt;"))</f>
        <v>N/A</v>
      </c>
      <c r="BR47" s="514"/>
      <c r="BS47" s="514" t="str">
        <f>IF(OR(ISBLANK(V21),ISBLANK(V22),ISBLANK(V23),ISBLANK(V24)),"N/A",IF((BS44=BS46),"ok","&lt;&gt;"))</f>
        <v>N/A</v>
      </c>
      <c r="BT47" s="514"/>
      <c r="BU47" s="514" t="str">
        <f>IF(OR(ISBLANK(X21),ISBLANK(X22),ISBLANK(X23),ISBLANK(X24)),"N/A",IF((BU44=BU46),"ok","&lt;&gt;"))</f>
        <v>N/A</v>
      </c>
      <c r="BV47" s="514"/>
      <c r="BW47" s="514" t="str">
        <f>IF(OR(ISBLANK(Z21),ISBLANK(Z22),ISBLANK(Z23),ISBLANK(Z24)),"N/A",IF((BW44=BW46),"ok","&lt;&gt;"))</f>
        <v>N/A</v>
      </c>
      <c r="BX47" s="514"/>
      <c r="BY47" s="514" t="str">
        <f>IF(OR(ISBLANK(AB21),ISBLANK(AB22),ISBLANK(AB23),ISBLANK(AB24)),"N/A",IF((BY44=BY46),"ok","&lt;&gt;"))</f>
        <v>N/A</v>
      </c>
      <c r="BZ47" s="514"/>
      <c r="CA47" s="514" t="str">
        <f>IF(OR(ISBLANK(AD21),ISBLANK(AD22),ISBLANK(AD23),ISBLANK(AD24)),"N/A",IF((CA44=CA46),"ok","&lt;&gt;"))</f>
        <v>N/A</v>
      </c>
      <c r="CB47" s="514"/>
      <c r="CC47" s="514" t="str">
        <f>IF(OR(ISBLANK(AF21),ISBLANK(AF22),ISBLANK(AF23),ISBLANK(AF24)),"N/A",IF((CC44=CC46),"ok","&lt;&gt;"))</f>
        <v>N/A</v>
      </c>
      <c r="CD47" s="514"/>
      <c r="CE47" s="514" t="str">
        <f>IF(OR(ISBLANK(AH21),ISBLANK(AH22),ISBLANK(AH23),ISBLANK(AH24)),"N/A",IF((CE44=CE46),"ok","&lt;&gt;"))</f>
        <v>N/A</v>
      </c>
      <c r="CF47" s="514"/>
      <c r="CG47" s="514" t="str">
        <f>IF(OR(ISBLANK(AJ21),ISBLANK(AJ22),ISBLANK(AJ23),ISBLANK(AJ24)),"N/A",IF((CG44=CG46),"ok","&lt;&gt;"))</f>
        <v>N/A</v>
      </c>
      <c r="CH47" s="514"/>
      <c r="CI47" s="514" t="str">
        <f>IF(OR(ISBLANK(AL21),ISBLANK(AL22),ISBLANK(AL23),ISBLANK(AL24)),"N/A",IF((CI44=CI46),"ok","&lt;&gt;"))</f>
        <v>N/A</v>
      </c>
      <c r="CJ47" s="514"/>
      <c r="CK47" s="514" t="str">
        <f>IF(OR(ISBLANK(AN21),ISBLANK(AN22),ISBLANK(AN23),ISBLANK(AN24)),"N/A",IF((CK44=CK46),"ok","&lt;&gt;"))</f>
        <v>N/A</v>
      </c>
      <c r="CL47" s="514"/>
      <c r="CM47" s="514" t="str">
        <f>IF(OR(ISBLANK(AP21),ISBLANK(AP22),ISBLANK(AP23),ISBLANK(AP24)),"N/A",IF((CM44=CM46),"ok","&lt;&gt;"))</f>
        <v>N/A</v>
      </c>
      <c r="CN47" s="514"/>
      <c r="CO47" s="514" t="str">
        <f>IF(OR(ISBLANK(AR21),ISBLANK(AR22),ISBLANK(AR23),ISBLANK(AR24)),"N/A",IF((CO44=CO46),"ok","&lt;&gt;"))</f>
        <v>N/A</v>
      </c>
      <c r="CP47" s="514"/>
      <c r="CQ47" s="514" t="str">
        <f>IF(OR(ISBLANK(AT21),ISBLANK(AT22),ISBLANK(AT23),ISBLANK(AT24)),"N/A",IF((CQ44=CQ46),"ok","&lt;&gt;"))</f>
        <v>N/A</v>
      </c>
      <c r="CR47" s="514"/>
      <c r="CS47" s="514" t="str">
        <f>IF(OR(ISBLANK(AV21),ISBLANK(AV22),ISBLANK(AV23),ISBLANK(AV24)),"N/A",IF((CS44=CS46),"ok","&lt;&gt;"))</f>
        <v>N/A</v>
      </c>
      <c r="CT47" s="514"/>
      <c r="CU47" s="514"/>
      <c r="CV47" s="514"/>
      <c r="CW47" s="514"/>
    </row>
    <row r="48" spans="1:101" s="438" customFormat="1" ht="18.95" customHeight="1" x14ac:dyDescent="0.25">
      <c r="A48" s="437"/>
      <c r="B48" s="426">
        <v>3</v>
      </c>
      <c r="C48" s="318" t="s">
        <v>119</v>
      </c>
      <c r="D48" s="413"/>
      <c r="E48" s="318"/>
      <c r="F48" s="224"/>
      <c r="G48" s="224"/>
      <c r="H48" s="321"/>
      <c r="I48" s="322"/>
      <c r="J48" s="322"/>
      <c r="K48" s="322"/>
      <c r="L48" s="322"/>
      <c r="M48" s="322"/>
      <c r="N48" s="322"/>
      <c r="O48" s="322"/>
      <c r="P48" s="323"/>
      <c r="Q48" s="322"/>
      <c r="R48" s="323"/>
      <c r="S48" s="322"/>
      <c r="T48" s="323"/>
      <c r="U48" s="322"/>
      <c r="V48" s="323"/>
      <c r="W48" s="322"/>
      <c r="X48" s="321"/>
      <c r="Y48" s="322"/>
      <c r="Z48" s="321"/>
      <c r="AA48" s="322"/>
      <c r="AB48" s="321"/>
      <c r="AC48" s="322"/>
      <c r="AD48" s="321"/>
      <c r="AE48" s="322"/>
      <c r="AF48" s="321"/>
      <c r="AG48" s="414"/>
      <c r="AH48" s="321"/>
      <c r="AI48" s="322"/>
      <c r="AJ48" s="323"/>
      <c r="AK48" s="322"/>
      <c r="AL48" s="321"/>
      <c r="AM48" s="322"/>
      <c r="AN48" s="321"/>
      <c r="AO48" s="322"/>
      <c r="AP48" s="322"/>
      <c r="AQ48" s="322"/>
      <c r="AR48" s="322"/>
      <c r="AS48" s="322"/>
      <c r="AT48" s="374"/>
      <c r="AU48" s="373"/>
      <c r="AV48" s="322"/>
      <c r="AW48" s="322"/>
      <c r="AX48" s="444"/>
      <c r="AY48" s="474"/>
      <c r="AZ48" s="331" t="s">
        <v>438</v>
      </c>
      <c r="BA48" s="332" t="s">
        <v>439</v>
      </c>
      <c r="BB48" s="294"/>
      <c r="BC48" s="515"/>
      <c r="BD48" s="515"/>
      <c r="BE48" s="294"/>
      <c r="BF48" s="294"/>
      <c r="BG48" s="294"/>
      <c r="BH48" s="294"/>
      <c r="BI48" s="294"/>
      <c r="BJ48" s="294"/>
      <c r="BK48" s="294"/>
      <c r="BL48" s="294"/>
      <c r="BM48" s="294"/>
      <c r="BN48" s="294"/>
      <c r="BO48" s="294"/>
      <c r="BP48" s="294"/>
      <c r="BQ48" s="294"/>
      <c r="BR48" s="294"/>
      <c r="BS48" s="294"/>
      <c r="BT48" s="294"/>
      <c r="BU48" s="294"/>
      <c r="BV48" s="294"/>
      <c r="BW48" s="294"/>
      <c r="BX48" s="294"/>
      <c r="BY48" s="294"/>
      <c r="BZ48" s="294"/>
      <c r="CA48" s="294"/>
      <c r="CB48" s="294"/>
      <c r="CC48" s="516"/>
      <c r="CD48" s="515"/>
      <c r="CE48" s="294"/>
      <c r="CF48" s="294"/>
      <c r="CG48" s="294"/>
      <c r="CH48" s="294"/>
      <c r="CI48" s="294"/>
      <c r="CJ48" s="294"/>
      <c r="CK48" s="294"/>
      <c r="CL48" s="294"/>
      <c r="CM48" s="294"/>
      <c r="CN48" s="294"/>
      <c r="CO48" s="294"/>
      <c r="CP48" s="294"/>
      <c r="CQ48" s="294"/>
      <c r="CR48" s="294"/>
      <c r="CS48" s="294"/>
      <c r="CT48" s="294"/>
      <c r="CU48" s="294"/>
      <c r="CV48" s="294"/>
      <c r="CW48" s="294"/>
    </row>
    <row r="49" spans="3:101" ht="14.25" customHeight="1" x14ac:dyDescent="0.25">
      <c r="C49" s="415"/>
      <c r="D49" s="415"/>
      <c r="E49" s="416"/>
      <c r="F49" s="360"/>
      <c r="G49" s="360"/>
      <c r="H49" s="356"/>
      <c r="I49" s="357"/>
      <c r="J49" s="357"/>
      <c r="K49" s="357"/>
      <c r="L49" s="357"/>
      <c r="M49" s="357"/>
      <c r="N49" s="357"/>
      <c r="O49" s="357"/>
      <c r="P49" s="358"/>
      <c r="Q49" s="357"/>
      <c r="R49" s="358"/>
      <c r="S49" s="357"/>
      <c r="T49" s="358"/>
      <c r="U49" s="357"/>
      <c r="V49" s="358"/>
      <c r="W49" s="357"/>
      <c r="X49" s="356"/>
      <c r="Y49" s="357"/>
      <c r="Z49" s="356"/>
      <c r="AA49" s="357"/>
      <c r="AB49" s="356"/>
      <c r="AC49" s="357"/>
      <c r="AD49" s="356"/>
      <c r="AE49" s="357"/>
      <c r="AF49" s="356"/>
      <c r="AG49" s="417"/>
      <c r="AH49" s="356"/>
      <c r="AI49" s="357"/>
      <c r="AJ49" s="358"/>
      <c r="AK49" s="357"/>
      <c r="AL49" s="356"/>
      <c r="AM49" s="359"/>
      <c r="AN49" s="354"/>
      <c r="AO49" s="359"/>
      <c r="AP49" s="359"/>
      <c r="AQ49" s="359"/>
      <c r="AR49" s="359"/>
      <c r="AS49" s="359"/>
      <c r="AV49" s="359"/>
      <c r="AW49" s="359"/>
      <c r="AZ49" s="331" t="s">
        <v>440</v>
      </c>
      <c r="BA49" s="332" t="s">
        <v>441</v>
      </c>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c r="BX49" s="294"/>
      <c r="BY49" s="294"/>
      <c r="BZ49" s="294"/>
      <c r="CA49" s="294"/>
      <c r="CB49" s="294"/>
      <c r="CC49" s="294"/>
      <c r="CD49" s="294"/>
      <c r="CE49" s="294"/>
      <c r="CF49" s="294"/>
      <c r="CG49" s="294"/>
      <c r="CH49" s="294"/>
      <c r="CI49" s="294"/>
      <c r="CJ49" s="294"/>
      <c r="CK49" s="294"/>
      <c r="CL49" s="294"/>
      <c r="CM49" s="294"/>
      <c r="CN49" s="294"/>
      <c r="CO49" s="294"/>
      <c r="CP49" s="294"/>
      <c r="CQ49" s="294"/>
      <c r="CR49" s="294"/>
      <c r="CS49" s="294"/>
      <c r="CT49" s="294"/>
      <c r="CU49" s="294"/>
      <c r="CV49" s="294"/>
      <c r="CW49" s="294"/>
    </row>
    <row r="50" spans="3:101" ht="24" customHeight="1" x14ac:dyDescent="0.2">
      <c r="C50" s="476" t="s">
        <v>515</v>
      </c>
      <c r="D50" s="831" t="s">
        <v>516</v>
      </c>
      <c r="E50" s="832"/>
      <c r="F50" s="832"/>
      <c r="G50" s="832"/>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832"/>
      <c r="AM50" s="832"/>
      <c r="AN50" s="832"/>
      <c r="AO50" s="832"/>
      <c r="AP50" s="832"/>
      <c r="AQ50" s="832"/>
      <c r="AR50" s="832"/>
      <c r="AS50" s="832"/>
      <c r="AT50" s="832"/>
      <c r="AU50" s="832"/>
      <c r="AV50" s="832"/>
      <c r="AW50" s="832"/>
      <c r="AX50" s="833"/>
      <c r="AZ50" s="333" t="s">
        <v>443</v>
      </c>
      <c r="BA50" s="332" t="s">
        <v>445</v>
      </c>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94"/>
      <c r="CC50" s="294"/>
      <c r="CD50" s="294"/>
      <c r="CE50" s="294"/>
      <c r="CF50" s="294"/>
      <c r="CG50" s="294"/>
      <c r="CH50" s="294"/>
      <c r="CI50" s="294"/>
      <c r="CJ50" s="294"/>
      <c r="CK50" s="294"/>
      <c r="CL50" s="294"/>
      <c r="CM50" s="294"/>
      <c r="CN50" s="294"/>
      <c r="CO50" s="294"/>
      <c r="CP50" s="294"/>
      <c r="CQ50" s="294"/>
      <c r="CR50" s="294"/>
      <c r="CS50" s="294"/>
      <c r="CT50" s="294"/>
      <c r="CU50" s="294"/>
      <c r="CV50" s="294"/>
      <c r="CW50" s="294"/>
    </row>
    <row r="51" spans="3:101" ht="18" customHeight="1" x14ac:dyDescent="0.2">
      <c r="C51" s="548"/>
      <c r="D51" s="789"/>
      <c r="E51" s="790"/>
      <c r="F51" s="790"/>
      <c r="G51" s="790"/>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c r="AZ51" s="333" t="s">
        <v>442</v>
      </c>
      <c r="BA51" s="332" t="s">
        <v>379</v>
      </c>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515"/>
      <c r="CD51" s="294"/>
      <c r="CE51" s="294"/>
      <c r="CF51" s="294"/>
      <c r="CG51" s="294"/>
      <c r="CH51" s="294"/>
      <c r="CI51" s="294"/>
      <c r="CJ51" s="294"/>
      <c r="CK51" s="294"/>
      <c r="CL51" s="294"/>
      <c r="CM51" s="294"/>
      <c r="CN51" s="294"/>
      <c r="CO51" s="294"/>
      <c r="CP51" s="294"/>
      <c r="CQ51" s="294"/>
      <c r="CR51" s="294"/>
      <c r="CS51" s="294"/>
      <c r="CT51" s="294"/>
      <c r="CU51" s="294"/>
      <c r="CV51" s="294"/>
      <c r="CW51" s="294"/>
    </row>
    <row r="52" spans="3:101" ht="18" customHeight="1" x14ac:dyDescent="0.2">
      <c r="C52" s="548"/>
      <c r="D52" s="792"/>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4"/>
      <c r="AZ52" s="331"/>
      <c r="BA52" s="332"/>
      <c r="BB52" s="294"/>
      <c r="BC52" s="515"/>
      <c r="BD52" s="515"/>
      <c r="BE52" s="294"/>
      <c r="BF52" s="294"/>
      <c r="BG52" s="294"/>
      <c r="BH52" s="294"/>
      <c r="BI52" s="294"/>
      <c r="BJ52" s="294"/>
      <c r="BK52" s="294"/>
      <c r="BL52" s="294"/>
      <c r="BM52" s="294"/>
      <c r="BN52" s="294"/>
      <c r="BO52" s="294"/>
      <c r="BP52" s="294"/>
      <c r="BQ52" s="294"/>
      <c r="BR52" s="294"/>
      <c r="BS52" s="294"/>
      <c r="BT52" s="294"/>
      <c r="BU52" s="294"/>
      <c r="BV52" s="294"/>
      <c r="BW52" s="294"/>
      <c r="BX52" s="294"/>
      <c r="BY52" s="294"/>
      <c r="BZ52" s="294"/>
      <c r="CA52" s="294"/>
      <c r="CB52" s="294"/>
      <c r="CC52" s="515"/>
      <c r="CD52" s="515"/>
      <c r="CE52" s="294"/>
      <c r="CF52" s="294"/>
      <c r="CG52" s="294"/>
      <c r="CH52" s="294"/>
      <c r="CI52" s="294"/>
      <c r="CJ52" s="294"/>
      <c r="CK52" s="294"/>
      <c r="CL52" s="294"/>
      <c r="CM52" s="294"/>
      <c r="CN52" s="294"/>
      <c r="CO52" s="294"/>
      <c r="CP52" s="294"/>
      <c r="CQ52" s="294"/>
      <c r="CR52" s="294"/>
      <c r="CS52" s="294"/>
      <c r="CT52" s="294"/>
      <c r="CU52" s="294"/>
      <c r="CV52" s="294"/>
      <c r="CW52" s="294"/>
    </row>
    <row r="53" spans="3:101" ht="18" customHeight="1" x14ac:dyDescent="0.2">
      <c r="C53" s="548"/>
      <c r="D53" s="792"/>
      <c r="E53" s="793"/>
      <c r="F53" s="793"/>
      <c r="G53" s="793"/>
      <c r="H53" s="793"/>
      <c r="I53" s="793"/>
      <c r="J53" s="793"/>
      <c r="K53" s="793"/>
      <c r="L53" s="793"/>
      <c r="M53" s="793"/>
      <c r="N53" s="793"/>
      <c r="O53" s="793"/>
      <c r="P53" s="793"/>
      <c r="Q53" s="793"/>
      <c r="R53" s="793"/>
      <c r="S53" s="793"/>
      <c r="T53" s="793"/>
      <c r="U53" s="793"/>
      <c r="V53" s="793"/>
      <c r="W53" s="793"/>
      <c r="X53" s="793"/>
      <c r="Y53" s="793"/>
      <c r="Z53" s="793"/>
      <c r="AA53" s="793"/>
      <c r="AB53" s="793"/>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794"/>
      <c r="AZ53" s="331"/>
      <c r="BA53" s="332"/>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c r="BX53" s="294"/>
      <c r="BY53" s="294"/>
      <c r="BZ53" s="294"/>
      <c r="CA53" s="294"/>
      <c r="CB53" s="294"/>
      <c r="CC53" s="294"/>
      <c r="CD53" s="294"/>
      <c r="CE53" s="294"/>
      <c r="CF53" s="294"/>
      <c r="CG53" s="294"/>
      <c r="CH53" s="294"/>
      <c r="CI53" s="294"/>
      <c r="CJ53" s="294"/>
      <c r="CK53" s="294"/>
      <c r="CL53" s="294"/>
      <c r="CM53" s="294"/>
      <c r="CN53" s="294"/>
      <c r="CO53" s="294"/>
      <c r="CP53" s="294"/>
      <c r="CQ53" s="294"/>
      <c r="CR53" s="294"/>
      <c r="CS53" s="294"/>
      <c r="CT53" s="294"/>
      <c r="CU53" s="294"/>
      <c r="CV53" s="294"/>
      <c r="CW53" s="294"/>
    </row>
    <row r="54" spans="3:101" ht="18" customHeight="1" x14ac:dyDescent="0.2">
      <c r="C54" s="548"/>
      <c r="D54" s="792"/>
      <c r="E54" s="793"/>
      <c r="F54" s="793"/>
      <c r="G54" s="793"/>
      <c r="H54" s="793"/>
      <c r="I54" s="793"/>
      <c r="J54" s="793"/>
      <c r="K54" s="793"/>
      <c r="L54" s="793"/>
      <c r="M54" s="793"/>
      <c r="N54" s="793"/>
      <c r="O54" s="793"/>
      <c r="P54" s="793"/>
      <c r="Q54" s="793"/>
      <c r="R54" s="793"/>
      <c r="S54" s="793"/>
      <c r="T54" s="793"/>
      <c r="U54" s="793"/>
      <c r="V54" s="793"/>
      <c r="W54" s="793"/>
      <c r="X54" s="793"/>
      <c r="Y54" s="793"/>
      <c r="Z54" s="793"/>
      <c r="AA54" s="793"/>
      <c r="AB54" s="793"/>
      <c r="AC54" s="793"/>
      <c r="AD54" s="793"/>
      <c r="AE54" s="793"/>
      <c r="AF54" s="793"/>
      <c r="AG54" s="793"/>
      <c r="AH54" s="793"/>
      <c r="AI54" s="793"/>
      <c r="AJ54" s="793"/>
      <c r="AK54" s="793"/>
      <c r="AL54" s="793"/>
      <c r="AM54" s="793"/>
      <c r="AN54" s="793"/>
      <c r="AO54" s="793"/>
      <c r="AP54" s="793"/>
      <c r="AQ54" s="793"/>
      <c r="AR54" s="793"/>
      <c r="AS54" s="793"/>
      <c r="AT54" s="793"/>
      <c r="AU54" s="793"/>
      <c r="AV54" s="793"/>
      <c r="AW54" s="793"/>
      <c r="AX54" s="794"/>
      <c r="AZ54" s="333"/>
      <c r="BA54" s="332"/>
      <c r="BB54" s="294"/>
      <c r="BC54" s="294"/>
      <c r="BD54" s="294"/>
      <c r="BE54" s="294"/>
      <c r="BF54" s="294"/>
      <c r="BG54" s="294"/>
      <c r="BH54" s="294"/>
      <c r="BI54" s="294"/>
      <c r="BJ54" s="294"/>
      <c r="BK54" s="294"/>
      <c r="BL54" s="294"/>
      <c r="BM54" s="294"/>
      <c r="BN54" s="294"/>
      <c r="BO54" s="294"/>
      <c r="BP54" s="294"/>
      <c r="BQ54" s="294"/>
      <c r="BR54" s="294"/>
      <c r="BS54" s="294"/>
      <c r="BT54" s="294"/>
      <c r="BU54" s="294"/>
      <c r="BV54" s="294"/>
      <c r="BW54" s="294"/>
      <c r="BX54" s="294"/>
      <c r="BY54" s="294"/>
      <c r="BZ54" s="294"/>
      <c r="CA54" s="294"/>
      <c r="CB54" s="294"/>
      <c r="CC54" s="294"/>
      <c r="CD54" s="294"/>
      <c r="CE54" s="294"/>
      <c r="CF54" s="294"/>
      <c r="CG54" s="294"/>
      <c r="CH54" s="294"/>
      <c r="CI54" s="294"/>
      <c r="CJ54" s="294"/>
      <c r="CK54" s="294"/>
      <c r="CL54" s="294"/>
      <c r="CM54" s="294"/>
      <c r="CN54" s="294"/>
      <c r="CO54" s="294"/>
      <c r="CP54" s="294"/>
      <c r="CQ54" s="294"/>
      <c r="CR54" s="294"/>
      <c r="CS54" s="294"/>
      <c r="CT54" s="294"/>
      <c r="CU54" s="294"/>
      <c r="CV54" s="294"/>
      <c r="CW54" s="294"/>
    </row>
    <row r="55" spans="3:101" ht="18" customHeight="1" x14ac:dyDescent="0.2">
      <c r="C55" s="548"/>
      <c r="D55" s="792"/>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3"/>
      <c r="AJ55" s="793"/>
      <c r="AK55" s="793"/>
      <c r="AL55" s="793"/>
      <c r="AM55" s="793"/>
      <c r="AN55" s="793"/>
      <c r="AO55" s="793"/>
      <c r="AP55" s="793"/>
      <c r="AQ55" s="793"/>
      <c r="AR55" s="793"/>
      <c r="AS55" s="793"/>
      <c r="AT55" s="793"/>
      <c r="AU55" s="793"/>
      <c r="AV55" s="793"/>
      <c r="AW55" s="793"/>
      <c r="AX55" s="794"/>
      <c r="AZ55" s="333"/>
      <c r="BA55" s="332"/>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c r="BX55" s="294"/>
      <c r="BY55" s="294"/>
      <c r="BZ55" s="294"/>
      <c r="CA55" s="294"/>
      <c r="CB55" s="294"/>
      <c r="CC55" s="294"/>
      <c r="CD55" s="294"/>
      <c r="CE55" s="294"/>
      <c r="CF55" s="294"/>
      <c r="CG55" s="294"/>
      <c r="CH55" s="294"/>
      <c r="CI55" s="294"/>
      <c r="CJ55" s="294"/>
      <c r="CK55" s="294"/>
      <c r="CL55" s="294"/>
      <c r="CM55" s="294"/>
      <c r="CN55" s="294"/>
      <c r="CO55" s="294"/>
      <c r="CP55" s="294"/>
      <c r="CQ55" s="294"/>
      <c r="CR55" s="294"/>
      <c r="CS55" s="294"/>
      <c r="CT55" s="294"/>
      <c r="CU55" s="294"/>
      <c r="CV55" s="294"/>
      <c r="CW55" s="294"/>
    </row>
    <row r="56" spans="3:101" ht="18" customHeight="1" x14ac:dyDescent="0.2">
      <c r="C56" s="548"/>
      <c r="D56" s="792"/>
      <c r="E56" s="793"/>
      <c r="F56" s="793"/>
      <c r="G56" s="793"/>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row>
    <row r="57" spans="3:101" ht="18" customHeight="1" x14ac:dyDescent="0.2">
      <c r="C57" s="548"/>
      <c r="D57" s="792"/>
      <c r="E57" s="793"/>
      <c r="F57" s="793"/>
      <c r="G57" s="793"/>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row>
    <row r="58" spans="3:101" ht="18" customHeight="1" x14ac:dyDescent="0.2">
      <c r="C58" s="548"/>
      <c r="D58" s="792"/>
      <c r="E58" s="793"/>
      <c r="F58" s="793"/>
      <c r="G58" s="793"/>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row>
    <row r="59" spans="3:101" ht="18" customHeight="1" x14ac:dyDescent="0.2">
      <c r="C59" s="548"/>
      <c r="D59" s="792"/>
      <c r="E59" s="793"/>
      <c r="F59" s="793"/>
      <c r="G59" s="793"/>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row>
    <row r="60" spans="3:101" ht="18" customHeight="1" x14ac:dyDescent="0.2">
      <c r="C60" s="548"/>
      <c r="D60" s="792"/>
      <c r="E60" s="793"/>
      <c r="F60" s="793"/>
      <c r="G60" s="793"/>
      <c r="H60" s="793"/>
      <c r="I60" s="793"/>
      <c r="J60" s="793"/>
      <c r="K60" s="793"/>
      <c r="L60" s="793"/>
      <c r="M60" s="793"/>
      <c r="N60" s="793"/>
      <c r="O60" s="793"/>
      <c r="P60" s="793"/>
      <c r="Q60" s="793"/>
      <c r="R60" s="793"/>
      <c r="S60" s="793"/>
      <c r="T60" s="793"/>
      <c r="U60" s="793"/>
      <c r="V60" s="793"/>
      <c r="W60" s="793"/>
      <c r="X60" s="793"/>
      <c r="Y60" s="793"/>
      <c r="Z60" s="793"/>
      <c r="AA60" s="793"/>
      <c r="AB60" s="793"/>
      <c r="AC60" s="793"/>
      <c r="AD60" s="793"/>
      <c r="AE60" s="793"/>
      <c r="AF60" s="793"/>
      <c r="AG60" s="793"/>
      <c r="AH60" s="793"/>
      <c r="AI60" s="793"/>
      <c r="AJ60" s="793"/>
      <c r="AK60" s="793"/>
      <c r="AL60" s="793"/>
      <c r="AM60" s="793"/>
      <c r="AN60" s="793"/>
      <c r="AO60" s="793"/>
      <c r="AP60" s="793"/>
      <c r="AQ60" s="793"/>
      <c r="AR60" s="793"/>
      <c r="AS60" s="793"/>
      <c r="AT60" s="793"/>
      <c r="AU60" s="793"/>
      <c r="AV60" s="793"/>
      <c r="AW60" s="793"/>
      <c r="AX60" s="794"/>
    </row>
    <row r="61" spans="3:101" ht="18" customHeight="1" x14ac:dyDescent="0.2">
      <c r="C61" s="548"/>
      <c r="D61" s="792"/>
      <c r="E61" s="793"/>
      <c r="F61" s="793"/>
      <c r="G61" s="793"/>
      <c r="H61" s="793"/>
      <c r="I61" s="793"/>
      <c r="J61" s="793"/>
      <c r="K61" s="793"/>
      <c r="L61" s="793"/>
      <c r="M61" s="793"/>
      <c r="N61" s="793"/>
      <c r="O61" s="793"/>
      <c r="P61" s="793"/>
      <c r="Q61" s="793"/>
      <c r="R61" s="793"/>
      <c r="S61" s="793"/>
      <c r="T61" s="793"/>
      <c r="U61" s="793"/>
      <c r="V61" s="793"/>
      <c r="W61" s="793"/>
      <c r="X61" s="793"/>
      <c r="Y61" s="793"/>
      <c r="Z61" s="793"/>
      <c r="AA61" s="793"/>
      <c r="AB61" s="793"/>
      <c r="AC61" s="793"/>
      <c r="AD61" s="793"/>
      <c r="AE61" s="793"/>
      <c r="AF61" s="793"/>
      <c r="AG61" s="793"/>
      <c r="AH61" s="793"/>
      <c r="AI61" s="793"/>
      <c r="AJ61" s="793"/>
      <c r="AK61" s="793"/>
      <c r="AL61" s="793"/>
      <c r="AM61" s="793"/>
      <c r="AN61" s="793"/>
      <c r="AO61" s="793"/>
      <c r="AP61" s="793"/>
      <c r="AQ61" s="793"/>
      <c r="AR61" s="793"/>
      <c r="AS61" s="793"/>
      <c r="AT61" s="793"/>
      <c r="AU61" s="793"/>
      <c r="AV61" s="793"/>
      <c r="AW61" s="793"/>
      <c r="AX61" s="794"/>
    </row>
    <row r="62" spans="3:101" ht="18" customHeight="1" x14ac:dyDescent="0.2">
      <c r="C62" s="548"/>
      <c r="D62" s="792"/>
      <c r="E62" s="793"/>
      <c r="F62" s="793"/>
      <c r="G62" s="793"/>
      <c r="H62" s="793"/>
      <c r="I62" s="793"/>
      <c r="J62" s="793"/>
      <c r="K62" s="793"/>
      <c r="L62" s="793"/>
      <c r="M62" s="793"/>
      <c r="N62" s="793"/>
      <c r="O62" s="793"/>
      <c r="P62" s="793"/>
      <c r="Q62" s="793"/>
      <c r="R62" s="793"/>
      <c r="S62" s="793"/>
      <c r="T62" s="793"/>
      <c r="U62" s="793"/>
      <c r="V62" s="793"/>
      <c r="W62" s="793"/>
      <c r="X62" s="793"/>
      <c r="Y62" s="793"/>
      <c r="Z62" s="793"/>
      <c r="AA62" s="793"/>
      <c r="AB62" s="793"/>
      <c r="AC62" s="793"/>
      <c r="AD62" s="793"/>
      <c r="AE62" s="793"/>
      <c r="AF62" s="793"/>
      <c r="AG62" s="793"/>
      <c r="AH62" s="793"/>
      <c r="AI62" s="793"/>
      <c r="AJ62" s="793"/>
      <c r="AK62" s="793"/>
      <c r="AL62" s="793"/>
      <c r="AM62" s="793"/>
      <c r="AN62" s="793"/>
      <c r="AO62" s="793"/>
      <c r="AP62" s="793"/>
      <c r="AQ62" s="793"/>
      <c r="AR62" s="793"/>
      <c r="AS62" s="793"/>
      <c r="AT62" s="793"/>
      <c r="AU62" s="793"/>
      <c r="AV62" s="793"/>
      <c r="AW62" s="793"/>
      <c r="AX62" s="794"/>
    </row>
    <row r="63" spans="3:101" ht="18" customHeight="1" x14ac:dyDescent="0.2">
      <c r="C63" s="548"/>
      <c r="D63" s="792"/>
      <c r="E63" s="793"/>
      <c r="F63" s="793"/>
      <c r="G63" s="793"/>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row>
    <row r="64" spans="3:101" ht="18" customHeight="1" x14ac:dyDescent="0.2">
      <c r="C64" s="548"/>
      <c r="D64" s="792"/>
      <c r="E64" s="793"/>
      <c r="F64" s="793"/>
      <c r="G64" s="793"/>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4"/>
    </row>
    <row r="65" spans="1:101" ht="18" customHeight="1" x14ac:dyDescent="0.2">
      <c r="C65" s="548"/>
      <c r="D65" s="792"/>
      <c r="E65" s="793"/>
      <c r="F65" s="793"/>
      <c r="G65" s="793"/>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row>
    <row r="66" spans="1:101" ht="18" customHeight="1" x14ac:dyDescent="0.2">
      <c r="C66" s="548"/>
      <c r="D66" s="792"/>
      <c r="E66" s="793"/>
      <c r="F66" s="793"/>
      <c r="G66" s="793"/>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4"/>
    </row>
    <row r="67" spans="1:101" ht="18" customHeight="1" x14ac:dyDescent="0.2">
      <c r="C67" s="548"/>
      <c r="D67" s="792"/>
      <c r="E67" s="793"/>
      <c r="F67" s="793"/>
      <c r="G67" s="793"/>
      <c r="H67" s="793"/>
      <c r="I67" s="793"/>
      <c r="J67" s="793"/>
      <c r="K67" s="793"/>
      <c r="L67" s="793"/>
      <c r="M67" s="793"/>
      <c r="N67" s="793"/>
      <c r="O67" s="793"/>
      <c r="P67" s="793"/>
      <c r="Q67" s="793"/>
      <c r="R67" s="793"/>
      <c r="S67" s="793"/>
      <c r="T67" s="793"/>
      <c r="U67" s="793"/>
      <c r="V67" s="793"/>
      <c r="W67" s="793"/>
      <c r="X67" s="793"/>
      <c r="Y67" s="793"/>
      <c r="Z67" s="793"/>
      <c r="AA67" s="793"/>
      <c r="AB67" s="793"/>
      <c r="AC67" s="793"/>
      <c r="AD67" s="793"/>
      <c r="AE67" s="793"/>
      <c r="AF67" s="793"/>
      <c r="AG67" s="793"/>
      <c r="AH67" s="793"/>
      <c r="AI67" s="793"/>
      <c r="AJ67" s="793"/>
      <c r="AK67" s="793"/>
      <c r="AL67" s="793"/>
      <c r="AM67" s="793"/>
      <c r="AN67" s="793"/>
      <c r="AO67" s="793"/>
      <c r="AP67" s="793"/>
      <c r="AQ67" s="793"/>
      <c r="AR67" s="793"/>
      <c r="AS67" s="793"/>
      <c r="AT67" s="793"/>
      <c r="AU67" s="793"/>
      <c r="AV67" s="793"/>
      <c r="AW67" s="793"/>
      <c r="AX67" s="794"/>
    </row>
    <row r="68" spans="1:101" ht="18" customHeight="1" x14ac:dyDescent="0.2">
      <c r="C68" s="548"/>
      <c r="D68" s="792"/>
      <c r="E68" s="793"/>
      <c r="F68" s="793"/>
      <c r="G68" s="793"/>
      <c r="H68" s="793"/>
      <c r="I68" s="793"/>
      <c r="J68" s="793"/>
      <c r="K68" s="793"/>
      <c r="L68" s="793"/>
      <c r="M68" s="793"/>
      <c r="N68" s="793"/>
      <c r="O68" s="793"/>
      <c r="P68" s="793"/>
      <c r="Q68" s="793"/>
      <c r="R68" s="793"/>
      <c r="S68" s="793"/>
      <c r="T68" s="793"/>
      <c r="U68" s="793"/>
      <c r="V68" s="793"/>
      <c r="W68" s="793"/>
      <c r="X68" s="793"/>
      <c r="Y68" s="793"/>
      <c r="Z68" s="793"/>
      <c r="AA68" s="793"/>
      <c r="AB68" s="793"/>
      <c r="AC68" s="793"/>
      <c r="AD68" s="793"/>
      <c r="AE68" s="793"/>
      <c r="AF68" s="793"/>
      <c r="AG68" s="793"/>
      <c r="AH68" s="793"/>
      <c r="AI68" s="793"/>
      <c r="AJ68" s="793"/>
      <c r="AK68" s="793"/>
      <c r="AL68" s="793"/>
      <c r="AM68" s="793"/>
      <c r="AN68" s="793"/>
      <c r="AO68" s="793"/>
      <c r="AP68" s="793"/>
      <c r="AQ68" s="793"/>
      <c r="AR68" s="793"/>
      <c r="AS68" s="793"/>
      <c r="AT68" s="793"/>
      <c r="AU68" s="793"/>
      <c r="AV68" s="793"/>
      <c r="AW68" s="793"/>
      <c r="AX68" s="794"/>
    </row>
    <row r="69" spans="1:101" ht="18" customHeight="1" x14ac:dyDescent="0.2">
      <c r="C69" s="548"/>
      <c r="D69" s="792"/>
      <c r="E69" s="793"/>
      <c r="F69" s="793"/>
      <c r="G69" s="793"/>
      <c r="H69" s="793"/>
      <c r="I69" s="793"/>
      <c r="J69" s="793"/>
      <c r="K69" s="793"/>
      <c r="L69" s="793"/>
      <c r="M69" s="793"/>
      <c r="N69" s="793"/>
      <c r="O69" s="793"/>
      <c r="P69" s="793"/>
      <c r="Q69" s="793"/>
      <c r="R69" s="793"/>
      <c r="S69" s="793"/>
      <c r="T69" s="793"/>
      <c r="U69" s="793"/>
      <c r="V69" s="793"/>
      <c r="W69" s="793"/>
      <c r="X69" s="793"/>
      <c r="Y69" s="793"/>
      <c r="Z69" s="793"/>
      <c r="AA69" s="793"/>
      <c r="AB69" s="793"/>
      <c r="AC69" s="793"/>
      <c r="AD69" s="793"/>
      <c r="AE69" s="793"/>
      <c r="AF69" s="793"/>
      <c r="AG69" s="793"/>
      <c r="AH69" s="793"/>
      <c r="AI69" s="793"/>
      <c r="AJ69" s="793"/>
      <c r="AK69" s="793"/>
      <c r="AL69" s="793"/>
      <c r="AM69" s="793"/>
      <c r="AN69" s="793"/>
      <c r="AO69" s="793"/>
      <c r="AP69" s="793"/>
      <c r="AQ69" s="793"/>
      <c r="AR69" s="793"/>
      <c r="AS69" s="793"/>
      <c r="AT69" s="793"/>
      <c r="AU69" s="793"/>
      <c r="AV69" s="793"/>
      <c r="AW69" s="793"/>
      <c r="AX69" s="794"/>
    </row>
    <row r="70" spans="1:101" ht="18" customHeight="1" x14ac:dyDescent="0.2">
      <c r="C70" s="548"/>
      <c r="D70" s="792"/>
      <c r="E70" s="793"/>
      <c r="F70" s="793"/>
      <c r="G70" s="793"/>
      <c r="H70" s="793"/>
      <c r="I70" s="793"/>
      <c r="J70" s="793"/>
      <c r="K70" s="793"/>
      <c r="L70" s="793"/>
      <c r="M70" s="793"/>
      <c r="N70" s="793"/>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3"/>
      <c r="AS70" s="793"/>
      <c r="AT70" s="793"/>
      <c r="AU70" s="793"/>
      <c r="AV70" s="793"/>
      <c r="AW70" s="793"/>
      <c r="AX70" s="794"/>
    </row>
    <row r="71" spans="1:101" ht="18" customHeight="1" x14ac:dyDescent="0.2">
      <c r="C71" s="556"/>
      <c r="D71" s="792"/>
      <c r="E71" s="793"/>
      <c r="F71" s="793"/>
      <c r="G71" s="793"/>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4"/>
    </row>
    <row r="72" spans="1:101" ht="18" customHeight="1" x14ac:dyDescent="0.2">
      <c r="C72" s="557"/>
      <c r="D72" s="799"/>
      <c r="E72" s="800"/>
      <c r="F72" s="800"/>
      <c r="G72" s="800"/>
      <c r="H72" s="800"/>
      <c r="I72" s="800"/>
      <c r="J72" s="800"/>
      <c r="K72" s="800"/>
      <c r="L72" s="800"/>
      <c r="M72" s="800"/>
      <c r="N72" s="800"/>
      <c r="O72" s="800"/>
      <c r="P72" s="800"/>
      <c r="Q72" s="800"/>
      <c r="R72" s="800"/>
      <c r="S72" s="800"/>
      <c r="T72" s="800"/>
      <c r="U72" s="800"/>
      <c r="V72" s="800"/>
      <c r="W72" s="800"/>
      <c r="X72" s="800"/>
      <c r="Y72" s="800"/>
      <c r="Z72" s="800"/>
      <c r="AA72" s="800"/>
      <c r="AB72" s="800"/>
      <c r="AC72" s="800"/>
      <c r="AD72" s="800"/>
      <c r="AE72" s="800"/>
      <c r="AF72" s="800"/>
      <c r="AG72" s="800"/>
      <c r="AH72" s="800"/>
      <c r="AI72" s="800"/>
      <c r="AJ72" s="800"/>
      <c r="AK72" s="800"/>
      <c r="AL72" s="800"/>
      <c r="AM72" s="800"/>
      <c r="AN72" s="800"/>
      <c r="AO72" s="800"/>
      <c r="AP72" s="800"/>
      <c r="AQ72" s="800"/>
      <c r="AR72" s="800"/>
      <c r="AS72" s="800"/>
      <c r="AT72" s="800"/>
      <c r="AU72" s="800"/>
      <c r="AV72" s="800"/>
      <c r="AW72" s="800"/>
      <c r="AX72" s="801"/>
    </row>
    <row r="73" spans="1:101" s="297" customFormat="1" ht="10.5" customHeight="1" x14ac:dyDescent="0.2">
      <c r="A73" s="478"/>
      <c r="B73" s="420"/>
      <c r="C73" s="438"/>
      <c r="D73" s="438"/>
      <c r="E73" s="204"/>
      <c r="F73" s="335"/>
      <c r="G73" s="335"/>
      <c r="H73" s="232"/>
      <c r="I73" s="233"/>
      <c r="J73" s="233"/>
      <c r="K73" s="233"/>
      <c r="L73" s="233"/>
      <c r="M73" s="233"/>
      <c r="N73" s="233"/>
      <c r="O73" s="233"/>
      <c r="P73" s="234"/>
      <c r="Q73" s="233"/>
      <c r="R73" s="234"/>
      <c r="S73" s="233"/>
      <c r="T73" s="234"/>
      <c r="U73" s="233"/>
      <c r="V73" s="234"/>
      <c r="W73" s="233"/>
      <c r="X73" s="232"/>
      <c r="Y73" s="233"/>
      <c r="Z73" s="232"/>
      <c r="AA73" s="233"/>
      <c r="AB73" s="232"/>
      <c r="AC73" s="233"/>
      <c r="AD73" s="232"/>
      <c r="AE73" s="233"/>
      <c r="AF73" s="232"/>
      <c r="AG73" s="479"/>
      <c r="AH73" s="232"/>
      <c r="AI73" s="233"/>
      <c r="AJ73" s="234"/>
      <c r="AK73" s="233"/>
      <c r="AL73" s="232"/>
      <c r="AM73" s="233"/>
      <c r="AN73" s="232"/>
      <c r="AO73" s="359"/>
      <c r="AP73" s="359"/>
      <c r="AQ73" s="359"/>
      <c r="AR73" s="359"/>
      <c r="AS73" s="359"/>
      <c r="AT73" s="354"/>
      <c r="AU73" s="359"/>
      <c r="AV73" s="359"/>
      <c r="AW73" s="359"/>
      <c r="AY73" s="439"/>
      <c r="AZ73" s="439"/>
      <c r="BA73" s="439"/>
      <c r="BB73" s="439"/>
      <c r="BC73" s="439"/>
      <c r="BD73" s="439"/>
      <c r="BE73" s="439"/>
      <c r="BF73" s="439"/>
      <c r="BG73" s="439"/>
      <c r="BH73" s="439"/>
      <c r="BI73" s="439"/>
      <c r="BJ73" s="439"/>
      <c r="BK73" s="439"/>
      <c r="BL73" s="439"/>
      <c r="BM73" s="439"/>
      <c r="BN73" s="439"/>
      <c r="BO73" s="439"/>
      <c r="BP73" s="439"/>
      <c r="BQ73" s="439"/>
      <c r="BR73" s="439"/>
      <c r="BS73" s="439"/>
      <c r="BT73" s="439"/>
      <c r="BU73" s="439"/>
      <c r="BV73" s="439"/>
      <c r="BW73" s="439"/>
      <c r="BX73" s="439"/>
      <c r="BY73" s="439"/>
      <c r="BZ73" s="439"/>
      <c r="CA73" s="439"/>
      <c r="CB73" s="439"/>
      <c r="CC73" s="439"/>
      <c r="CD73" s="439"/>
      <c r="CE73" s="439"/>
      <c r="CF73" s="439"/>
      <c r="CG73" s="439"/>
      <c r="CH73" s="439"/>
      <c r="CI73" s="439"/>
      <c r="CJ73" s="439"/>
      <c r="CK73" s="439"/>
      <c r="CL73" s="439"/>
      <c r="CM73" s="439"/>
      <c r="CN73" s="439"/>
      <c r="CO73" s="439"/>
      <c r="CP73" s="439"/>
      <c r="CQ73" s="439"/>
      <c r="CR73" s="439"/>
      <c r="CS73" s="439"/>
      <c r="CT73" s="439"/>
      <c r="CU73" s="439"/>
      <c r="CV73" s="439"/>
      <c r="CW73" s="439"/>
    </row>
    <row r="74" spans="1:101" x14ac:dyDescent="0.2">
      <c r="AZ74" s="680"/>
      <c r="BA74" s="621"/>
      <c r="BB74" s="621"/>
      <c r="BC74" s="621"/>
      <c r="BD74" s="621"/>
      <c r="BE74" s="621"/>
      <c r="BF74" s="621"/>
      <c r="BG74" s="621"/>
      <c r="BH74" s="621"/>
      <c r="BI74" s="621"/>
      <c r="BJ74" s="621"/>
      <c r="BK74" s="621"/>
      <c r="BL74" s="621"/>
      <c r="BM74" s="621"/>
      <c r="BN74" s="621"/>
      <c r="BO74" s="621"/>
      <c r="BP74" s="621"/>
      <c r="BQ74" s="621"/>
      <c r="BR74" s="621"/>
      <c r="BS74" s="621"/>
      <c r="BT74" s="621"/>
      <c r="BU74" s="621"/>
      <c r="BV74" s="621"/>
      <c r="BW74" s="621"/>
      <c r="BX74" s="621"/>
      <c r="BY74" s="621"/>
      <c r="BZ74" s="621"/>
      <c r="CA74" s="621"/>
      <c r="CB74" s="621"/>
      <c r="CC74" s="621"/>
      <c r="CD74" s="621"/>
      <c r="CE74" s="621"/>
      <c r="CF74" s="621"/>
      <c r="CG74" s="621"/>
      <c r="CH74" s="621"/>
      <c r="CI74" s="621"/>
      <c r="CJ74" s="621"/>
      <c r="CK74" s="621"/>
      <c r="CL74" s="621"/>
      <c r="CM74" s="621"/>
      <c r="CN74" s="621"/>
    </row>
    <row r="75" spans="1:101" x14ac:dyDescent="0.2">
      <c r="AZ75" s="493"/>
      <c r="BA75" s="493"/>
      <c r="BB75" s="493"/>
      <c r="BC75" s="493"/>
      <c r="BD75" s="493"/>
      <c r="BE75" s="493"/>
      <c r="BF75" s="493"/>
      <c r="BG75" s="493"/>
      <c r="BH75" s="493"/>
      <c r="BI75" s="493"/>
      <c r="BJ75" s="493"/>
      <c r="BK75" s="493"/>
      <c r="BL75" s="493"/>
      <c r="BM75" s="493"/>
      <c r="BN75" s="493"/>
      <c r="BO75" s="493"/>
      <c r="BP75" s="493"/>
      <c r="BQ75" s="493"/>
      <c r="BR75" s="493"/>
      <c r="BS75" s="493"/>
      <c r="BT75" s="493"/>
      <c r="BU75" s="493"/>
      <c r="BV75" s="493"/>
      <c r="BW75" s="493"/>
      <c r="BX75" s="493"/>
      <c r="BY75" s="493"/>
      <c r="BZ75" s="493"/>
      <c r="CA75" s="493"/>
      <c r="CB75" s="493"/>
      <c r="CC75" s="493"/>
      <c r="CD75" s="493"/>
      <c r="CE75" s="493"/>
      <c r="CF75" s="493"/>
      <c r="CG75" s="493"/>
      <c r="CH75" s="493"/>
      <c r="CI75" s="493"/>
      <c r="CJ75" s="493"/>
      <c r="CK75" s="493"/>
      <c r="CL75" s="493"/>
      <c r="CM75" s="493"/>
      <c r="CN75" s="493"/>
    </row>
    <row r="76" spans="1:101" x14ac:dyDescent="0.2">
      <c r="AZ76" s="97"/>
      <c r="BA76" s="681"/>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row>
    <row r="77" spans="1:101" x14ac:dyDescent="0.2">
      <c r="AZ77" s="97"/>
      <c r="BA77" s="681"/>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row>
    <row r="78" spans="1:101" x14ac:dyDescent="0.2">
      <c r="AZ78" s="422"/>
      <c r="BA78" s="423"/>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row>
    <row r="79" spans="1:101" x14ac:dyDescent="0.2">
      <c r="AZ79" s="422"/>
      <c r="BA79" s="423"/>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row>
    <row r="80" spans="1:101" x14ac:dyDescent="0.2">
      <c r="AZ80" s="97"/>
      <c r="BA80" s="681"/>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row>
    <row r="81" spans="52:92" x14ac:dyDescent="0.2">
      <c r="AZ81" s="97"/>
      <c r="BA81" s="682"/>
      <c r="BB81" s="97"/>
      <c r="BC81" s="97"/>
      <c r="BD81" s="97"/>
      <c r="BE81" s="111"/>
      <c r="BF81" s="111"/>
      <c r="BG81" s="111"/>
      <c r="BH81" s="111"/>
      <c r="BI81" s="111"/>
      <c r="BJ81" s="111"/>
      <c r="BK81" s="111"/>
      <c r="BL81" s="111"/>
      <c r="BM81" s="111"/>
      <c r="BN81" s="111"/>
      <c r="BO81" s="111"/>
      <c r="BP81" s="111"/>
      <c r="BQ81" s="111"/>
      <c r="BR81" s="111"/>
      <c r="BS81" s="97"/>
      <c r="BT81" s="97"/>
      <c r="BU81" s="97"/>
      <c r="BV81" s="97"/>
      <c r="BW81" s="97"/>
      <c r="BX81" s="97"/>
      <c r="BY81" s="97"/>
      <c r="BZ81" s="97"/>
      <c r="CA81" s="97"/>
      <c r="CB81" s="97"/>
      <c r="CC81" s="97"/>
      <c r="CD81" s="97"/>
      <c r="CE81" s="111"/>
      <c r="CF81" s="111"/>
      <c r="CG81" s="97"/>
      <c r="CH81" s="97"/>
      <c r="CI81" s="97"/>
      <c r="CJ81" s="97"/>
      <c r="CK81" s="97"/>
      <c r="CL81" s="97"/>
      <c r="CM81" s="97"/>
      <c r="CN81" s="97"/>
    </row>
    <row r="82" spans="52:92" x14ac:dyDescent="0.2">
      <c r="AZ82" s="97"/>
      <c r="BA82" s="681"/>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row>
    <row r="83" spans="52:92" x14ac:dyDescent="0.2">
      <c r="AZ83" s="97"/>
      <c r="BA83" s="681"/>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row>
    <row r="84" spans="52:92" x14ac:dyDescent="0.2">
      <c r="AZ84" s="97"/>
      <c r="BA84" s="681"/>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row>
    <row r="85" spans="52:92" x14ac:dyDescent="0.2">
      <c r="AZ85" s="422"/>
      <c r="BA85" s="423"/>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row>
    <row r="86" spans="52:92" x14ac:dyDescent="0.2">
      <c r="AZ86" s="97"/>
      <c r="BA86" s="681"/>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row>
    <row r="87" spans="52:92" x14ac:dyDescent="0.2">
      <c r="AZ87" s="97"/>
      <c r="BA87" s="681"/>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row>
    <row r="88" spans="52:92" x14ac:dyDescent="0.2">
      <c r="AZ88" s="422"/>
      <c r="BA88" s="423"/>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row>
    <row r="89" spans="52:92" x14ac:dyDescent="0.2">
      <c r="AZ89" s="97"/>
      <c r="BA89" s="681"/>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row>
    <row r="90" spans="52:92" x14ac:dyDescent="0.2">
      <c r="AZ90" s="422"/>
      <c r="BA90" s="423"/>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row>
    <row r="91" spans="52:92" x14ac:dyDescent="0.2">
      <c r="AZ91" s="97"/>
      <c r="BA91" s="681"/>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row>
    <row r="92" spans="52:92" x14ac:dyDescent="0.2">
      <c r="AZ92" s="97"/>
      <c r="BA92" s="681"/>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row>
    <row r="93" spans="52:92" x14ac:dyDescent="0.2">
      <c r="AZ93" s="97"/>
      <c r="BA93" s="682"/>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row>
    <row r="94" spans="52:92" x14ac:dyDescent="0.2">
      <c r="AZ94" s="97"/>
      <c r="BA94" s="681"/>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row>
    <row r="95" spans="52:92" x14ac:dyDescent="0.2">
      <c r="AZ95" s="422"/>
      <c r="BA95" s="423"/>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row>
    <row r="96" spans="52:92" x14ac:dyDescent="0.2">
      <c r="AZ96" s="439"/>
      <c r="BA96" s="439"/>
      <c r="BB96" s="439"/>
      <c r="BC96" s="439"/>
      <c r="BD96" s="439"/>
      <c r="BE96" s="439"/>
      <c r="BF96" s="439"/>
      <c r="BG96" s="439"/>
      <c r="BH96" s="439"/>
      <c r="BI96" s="439"/>
      <c r="BJ96" s="439"/>
      <c r="BK96" s="439"/>
      <c r="BL96" s="439"/>
      <c r="BM96" s="439"/>
      <c r="BN96" s="439"/>
      <c r="BO96" s="439"/>
      <c r="BP96" s="439"/>
      <c r="BQ96" s="439"/>
      <c r="BR96" s="439"/>
      <c r="BS96" s="439"/>
      <c r="BT96" s="439"/>
      <c r="BU96" s="439"/>
      <c r="BV96" s="439"/>
      <c r="BW96" s="439"/>
      <c r="BX96" s="439"/>
      <c r="BY96" s="439"/>
      <c r="BZ96" s="439"/>
      <c r="CA96" s="439"/>
      <c r="CB96" s="439"/>
      <c r="CC96" s="439"/>
      <c r="CD96" s="439"/>
      <c r="CE96" s="439"/>
      <c r="CF96" s="439"/>
      <c r="CG96" s="439"/>
      <c r="CH96" s="439"/>
      <c r="CI96" s="439"/>
      <c r="CJ96" s="439"/>
      <c r="CK96" s="439"/>
      <c r="CL96" s="439"/>
      <c r="CM96" s="439"/>
      <c r="CN96" s="439"/>
    </row>
    <row r="97" spans="52:92" x14ac:dyDescent="0.2">
      <c r="AZ97" s="97"/>
      <c r="BA97" s="681"/>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row>
    <row r="98" spans="52:92" x14ac:dyDescent="0.2">
      <c r="AZ98" s="97"/>
      <c r="BA98" s="681"/>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row>
    <row r="99" spans="52:92" x14ac:dyDescent="0.2">
      <c r="AZ99" s="422"/>
      <c r="BA99" s="423"/>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row>
    <row r="100" spans="52:92" x14ac:dyDescent="0.2">
      <c r="AZ100" s="97"/>
      <c r="BA100" s="683"/>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row>
    <row r="101" spans="52:92" x14ac:dyDescent="0.2">
      <c r="AZ101" s="684"/>
      <c r="BA101" s="423"/>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row>
    <row r="102" spans="52:92" x14ac:dyDescent="0.2">
      <c r="AZ102" s="684"/>
      <c r="BA102" s="423"/>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row>
    <row r="103" spans="52:92" x14ac:dyDescent="0.2">
      <c r="AZ103" s="684"/>
      <c r="BA103" s="423"/>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row>
    <row r="104" spans="52:92" x14ac:dyDescent="0.2">
      <c r="AZ104" s="684"/>
      <c r="BA104" s="423"/>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row>
    <row r="105" spans="52:92" x14ac:dyDescent="0.2">
      <c r="AZ105" s="684"/>
      <c r="BA105" s="423"/>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row>
    <row r="106" spans="52:92" x14ac:dyDescent="0.2">
      <c r="AZ106" s="684"/>
      <c r="BA106" s="423"/>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row>
    <row r="107" spans="52:92" x14ac:dyDescent="0.2">
      <c r="AZ107" s="684"/>
      <c r="BA107" s="423"/>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row>
    <row r="108" spans="52:92" x14ac:dyDescent="0.2">
      <c r="AZ108" s="684"/>
      <c r="BA108" s="423"/>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row>
    <row r="109" spans="52:92" x14ac:dyDescent="0.2">
      <c r="AZ109" s="684"/>
      <c r="BA109" s="423"/>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row>
    <row r="110" spans="52:92" x14ac:dyDescent="0.2">
      <c r="AZ110" s="97"/>
      <c r="BA110" s="681"/>
      <c r="BB110" s="97"/>
      <c r="BC110" s="97"/>
      <c r="BD110" s="97"/>
      <c r="BE110" s="111"/>
      <c r="BF110" s="111"/>
      <c r="BG110" s="111"/>
      <c r="BH110" s="111"/>
      <c r="BI110" s="111"/>
      <c r="BJ110" s="111"/>
      <c r="BK110" s="111"/>
      <c r="BL110" s="111"/>
      <c r="BM110" s="111"/>
      <c r="BN110" s="111"/>
      <c r="BO110" s="111"/>
      <c r="BP110" s="111"/>
      <c r="BQ110" s="111"/>
      <c r="BR110" s="111"/>
      <c r="BS110" s="97"/>
      <c r="BT110" s="97"/>
      <c r="BU110" s="97"/>
      <c r="BV110" s="97"/>
      <c r="BW110" s="97"/>
      <c r="BX110" s="97"/>
      <c r="BY110" s="97"/>
      <c r="BZ110" s="97"/>
      <c r="CA110" s="97"/>
      <c r="CB110" s="97"/>
      <c r="CC110" s="97"/>
      <c r="CD110" s="97"/>
      <c r="CE110" s="111"/>
      <c r="CF110" s="111"/>
      <c r="CG110" s="97"/>
      <c r="CH110" s="97"/>
      <c r="CI110" s="97"/>
      <c r="CJ110" s="97"/>
      <c r="CK110" s="97"/>
      <c r="CL110" s="97"/>
      <c r="CM110" s="97"/>
      <c r="CN110" s="97"/>
    </row>
    <row r="111" spans="52:92" x14ac:dyDescent="0.2">
      <c r="AZ111" s="97"/>
      <c r="BA111" s="681"/>
      <c r="BB111" s="97"/>
      <c r="BC111" s="97"/>
      <c r="BD111" s="97"/>
      <c r="BE111" s="111"/>
      <c r="BF111" s="111"/>
      <c r="BG111" s="111"/>
      <c r="BH111" s="111"/>
      <c r="BI111" s="111"/>
      <c r="BJ111" s="111"/>
      <c r="BK111" s="111"/>
      <c r="BL111" s="111"/>
      <c r="BM111" s="111"/>
      <c r="BN111" s="111"/>
      <c r="BO111" s="111"/>
      <c r="BP111" s="111"/>
      <c r="BQ111" s="111"/>
      <c r="BR111" s="111"/>
      <c r="BS111" s="97"/>
      <c r="BT111" s="97"/>
      <c r="BU111" s="97"/>
      <c r="BV111" s="97"/>
      <c r="BW111" s="97"/>
      <c r="BX111" s="97"/>
      <c r="BY111" s="97"/>
      <c r="BZ111" s="97"/>
      <c r="CA111" s="97"/>
      <c r="CB111" s="97"/>
      <c r="CC111" s="97"/>
      <c r="CD111" s="97"/>
      <c r="CE111" s="111"/>
      <c r="CF111" s="111"/>
      <c r="CG111" s="97"/>
      <c r="CH111" s="97"/>
      <c r="CI111" s="97"/>
      <c r="CJ111" s="97"/>
      <c r="CK111" s="97"/>
      <c r="CL111" s="97"/>
      <c r="CM111" s="97"/>
      <c r="CN111" s="97"/>
    </row>
    <row r="112" spans="52:92" x14ac:dyDescent="0.2">
      <c r="AZ112" s="422"/>
      <c r="BA112" s="423"/>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row>
    <row r="113" spans="52:92" x14ac:dyDescent="0.2">
      <c r="AZ113" s="97"/>
      <c r="BA113" s="681"/>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7"/>
      <c r="CC113" s="97"/>
      <c r="CD113" s="97"/>
      <c r="CE113" s="97"/>
      <c r="CF113" s="97"/>
      <c r="CG113" s="97"/>
      <c r="CH113" s="97"/>
      <c r="CI113" s="97"/>
      <c r="CJ113" s="97"/>
      <c r="CK113" s="97"/>
      <c r="CL113" s="97"/>
      <c r="CM113" s="97"/>
      <c r="CN113" s="97"/>
    </row>
    <row r="114" spans="52:92" x14ac:dyDescent="0.2">
      <c r="AZ114" s="439"/>
      <c r="BA114" s="439"/>
      <c r="BB114" s="439"/>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row>
    <row r="115" spans="52:92" x14ac:dyDescent="0.2">
      <c r="BB115" s="97"/>
      <c r="BC115" s="439"/>
      <c r="BD115" s="439"/>
      <c r="BE115" s="111"/>
      <c r="BF115" s="111"/>
      <c r="BG115" s="111"/>
      <c r="BH115" s="111"/>
      <c r="BI115" s="111"/>
      <c r="BJ115" s="111"/>
      <c r="BK115" s="111"/>
      <c r="BL115" s="111"/>
      <c r="BM115" s="111"/>
      <c r="BN115" s="111"/>
      <c r="BO115" s="111"/>
      <c r="BP115" s="111"/>
      <c r="BQ115" s="111"/>
      <c r="BR115" s="111"/>
      <c r="BS115" s="97"/>
      <c r="BT115" s="97"/>
      <c r="BU115" s="97"/>
      <c r="BV115" s="97"/>
      <c r="BW115" s="97"/>
      <c r="BX115" s="97"/>
      <c r="BY115" s="97"/>
      <c r="BZ115" s="97"/>
      <c r="CA115" s="97"/>
      <c r="CB115" s="97"/>
      <c r="CC115" s="97"/>
      <c r="CD115" s="97"/>
      <c r="CE115" s="111"/>
      <c r="CF115" s="111"/>
      <c r="CG115" s="97"/>
      <c r="CH115" s="97"/>
      <c r="CI115" s="97"/>
      <c r="CJ115" s="97"/>
      <c r="CK115" s="97"/>
      <c r="CL115" s="97"/>
      <c r="CM115" s="97"/>
      <c r="CN115" s="97"/>
    </row>
    <row r="116" spans="52:92" x14ac:dyDescent="0.2">
      <c r="BB116" s="439"/>
      <c r="BC116" s="439"/>
      <c r="BD116" s="439"/>
      <c r="BE116" s="439"/>
      <c r="BF116" s="439"/>
      <c r="BG116" s="439"/>
      <c r="BH116" s="439"/>
      <c r="BI116" s="439"/>
      <c r="BJ116" s="439"/>
      <c r="BK116" s="439"/>
      <c r="BL116" s="439"/>
      <c r="BM116" s="439"/>
      <c r="BN116" s="439"/>
      <c r="BO116" s="439"/>
      <c r="BP116" s="439"/>
      <c r="BQ116" s="439"/>
      <c r="BR116" s="439"/>
      <c r="BS116" s="439"/>
      <c r="BT116" s="439"/>
      <c r="BU116" s="439"/>
      <c r="BV116" s="439"/>
      <c r="BW116" s="439"/>
      <c r="BX116" s="439"/>
      <c r="BY116" s="439"/>
      <c r="BZ116" s="439"/>
      <c r="CA116" s="439"/>
      <c r="CB116" s="439"/>
      <c r="CC116" s="439"/>
      <c r="CD116" s="439"/>
      <c r="CE116" s="439"/>
      <c r="CF116" s="439"/>
      <c r="CG116" s="439"/>
      <c r="CH116" s="439"/>
      <c r="CI116" s="439"/>
      <c r="CJ116" s="439"/>
      <c r="CK116" s="439"/>
      <c r="CL116" s="439"/>
      <c r="CM116" s="439"/>
      <c r="CN116" s="439"/>
    </row>
    <row r="117" spans="52:92" x14ac:dyDescent="0.2">
      <c r="AZ117" s="439"/>
      <c r="BA117" s="685"/>
      <c r="BB117" s="439"/>
      <c r="BC117" s="439"/>
      <c r="BD117" s="439"/>
      <c r="BE117" s="439"/>
      <c r="BF117" s="439"/>
      <c r="BG117" s="439"/>
      <c r="BH117" s="439"/>
      <c r="BI117" s="439"/>
      <c r="BJ117" s="439"/>
      <c r="BK117" s="439"/>
      <c r="BL117" s="439"/>
      <c r="BM117" s="439"/>
      <c r="BN117" s="439"/>
      <c r="BO117" s="439"/>
      <c r="BP117" s="439"/>
      <c r="BQ117" s="439"/>
      <c r="BR117" s="439"/>
      <c r="BS117" s="439"/>
      <c r="BT117" s="439"/>
      <c r="BU117" s="439"/>
      <c r="BV117" s="439"/>
      <c r="BW117" s="439"/>
      <c r="BX117" s="439"/>
      <c r="BY117" s="439"/>
      <c r="BZ117" s="439"/>
      <c r="CA117" s="439"/>
      <c r="CB117" s="439"/>
      <c r="CC117" s="439"/>
      <c r="CD117" s="439"/>
      <c r="CE117" s="439"/>
      <c r="CF117" s="439"/>
      <c r="CG117" s="439"/>
      <c r="CH117" s="439"/>
      <c r="CI117" s="439"/>
      <c r="CJ117" s="439"/>
      <c r="CK117" s="439"/>
      <c r="CL117" s="439"/>
      <c r="CM117" s="439"/>
      <c r="CN117" s="439"/>
    </row>
  </sheetData>
  <sheetProtection sheet="1" objects="1" scenarios="1" formatCells="0" formatColumns="0" formatRows="0" insertColumns="0"/>
  <mergeCells count="32">
    <mergeCell ref="D63:AX63"/>
    <mergeCell ref="D64:AX64"/>
    <mergeCell ref="D59:AX59"/>
    <mergeCell ref="D56:AX56"/>
    <mergeCell ref="D57:AX57"/>
    <mergeCell ref="D60:AX60"/>
    <mergeCell ref="C5:AN5"/>
    <mergeCell ref="D72:AX72"/>
    <mergeCell ref="D65:AX65"/>
    <mergeCell ref="D66:AX66"/>
    <mergeCell ref="D67:AX67"/>
    <mergeCell ref="D68:AX68"/>
    <mergeCell ref="D50:AX50"/>
    <mergeCell ref="D70:AX70"/>
    <mergeCell ref="D71:AX71"/>
    <mergeCell ref="D58:AX58"/>
    <mergeCell ref="D69:AX69"/>
    <mergeCell ref="D61:AX61"/>
    <mergeCell ref="D62:AX62"/>
    <mergeCell ref="D55:AX55"/>
    <mergeCell ref="D53:AX53"/>
    <mergeCell ref="D54:AX54"/>
    <mergeCell ref="D51:AX51"/>
    <mergeCell ref="D52:AX52"/>
    <mergeCell ref="J38:N41"/>
    <mergeCell ref="U42:AB42"/>
    <mergeCell ref="U46:AB46"/>
    <mergeCell ref="D33:AX33"/>
    <mergeCell ref="D31:AX31"/>
    <mergeCell ref="U34:AB34"/>
    <mergeCell ref="U38:AB38"/>
    <mergeCell ref="D32:AX32"/>
  </mergeCells>
  <phoneticPr fontId="10" type="noConversion"/>
  <conditionalFormatting sqref="F8 H8 AT8 AV8 J8 L8 N8 P8 R8 T8 V8 X8 Z8 AB8 AD8 AF8 AH8 AJ8 AL8 AN8 AP8 AR8">
    <cfRule type="cellIs" dxfId="58" priority="26" stopIfTrue="1" operator="lessThan">
      <formula>0.99*(F9+F10+F11+F12+F14+F15+F16)</formula>
    </cfRule>
  </conditionalFormatting>
  <conditionalFormatting sqref="F17 H17 AT17 AV17 J17 L17 N17 P17 R17 T17 V17 X17 Z17 AB17 AD17 AF17 AH17 AJ17 AL17 AN17 AP17 AR17">
    <cfRule type="cellIs" dxfId="57" priority="25" stopIfTrue="1" operator="lessThan">
      <formula>0.99*(F18+F19+F20)</formula>
    </cfRule>
  </conditionalFormatting>
  <conditionalFormatting sqref="F21 H21 AT21 AV21 J21 L21 N21 P21 R21 T21 V21 X21 Z21 AB21 AD21 AF21 AH21 AJ21 AL21 AN21 AP21 AR21">
    <cfRule type="cellIs" dxfId="56" priority="24" stopIfTrue="1" operator="lessThan">
      <formula>0.99*(F22+F23+F24)</formula>
    </cfRule>
  </conditionalFormatting>
  <conditionalFormatting sqref="BC42:CW42 BC36:CW36 BC47:CW47">
    <cfRule type="cellIs" dxfId="55" priority="7" stopIfTrue="1" operator="equal">
      <formula>"&lt;&gt;"</formula>
    </cfRule>
  </conditionalFormatting>
  <conditionalFormatting sqref="BE8:BE27">
    <cfRule type="cellIs" dxfId="54" priority="5" stopIfTrue="1" operator="equal">
      <formula>"&gt; 100%"</formula>
    </cfRule>
  </conditionalFormatting>
  <conditionalFormatting sqref="CK8:CK27 CW8:CW27 BI8:BI27 BK8:BK27 BM8:BM27 BO8:BO27 BQ8:BQ27 BS8:BS27 BU8:BU27 BW8:BW27 BY8:BY27 CA8:CA27 CC8:CC27 CE8:CE27 CG8:CG27 CI8:CI27 CM8:CM27 BG8:BG27">
    <cfRule type="cellIs" dxfId="53" priority="6" stopIfTrue="1" operator="equal">
      <formula>"&gt; 25%"</formula>
    </cfRule>
  </conditionalFormatting>
  <conditionalFormatting sqref="BC33:CW33">
    <cfRule type="cellIs" dxfId="52" priority="4" stopIfTrue="1" operator="equal">
      <formula>"&lt;&gt;"</formula>
    </cfRule>
  </conditionalFormatting>
  <conditionalFormatting sqref="CK8:CK27 CM8:CM27">
    <cfRule type="cellIs" dxfId="51" priority="3" stopIfTrue="1" operator="equal">
      <formula>"&gt; 25%"</formula>
    </cfRule>
  </conditionalFormatting>
  <conditionalFormatting sqref="CO8:CO27 CQ8:CQ27 CS8:CS27">
    <cfRule type="cellIs" dxfId="50" priority="2" stopIfTrue="1" operator="equal">
      <formula>"&gt; 25%"</formula>
    </cfRule>
  </conditionalFormatting>
  <conditionalFormatting sqref="CO8:CO27 CQ8:CQ27 CS8:CS27">
    <cfRule type="cellIs" dxfId="49" priority="1" stopIfTrue="1" operator="equal">
      <formula>"&gt; 25%"</formula>
    </cfRule>
  </conditionalFormatting>
  <printOptions horizontalCentered="1"/>
  <pageMargins left="0.5" right="0.5" top="0.75" bottom="0.75" header="0.5" footer="0.5"/>
  <pageSetup paperSize="9" scale="54" firstPageNumber="21" fitToHeight="0" orientation="landscape"/>
  <headerFooter alignWithMargins="0">
    <oddFooter>&amp;C&amp;"Arial,Regular"UNSD/Programa de las Naciones Unidas para el Medio AmbienteCuestionario 2018 Estadisticas Ambientales -  Sección del Agua -  &amp;P</oddFooter>
  </headerFooter>
  <rowBreaks count="1" manualBreakCount="1">
    <brk id="47" min="2" max="43" man="1"/>
  </rowBreaks>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autoPageBreaks="0" fitToPage="1"/>
  </sheetPr>
  <dimension ref="A1:DG73"/>
  <sheetViews>
    <sheetView showGridLines="0" topLeftCell="C1" zoomScale="85" zoomScaleNormal="85" zoomScaleSheetLayoutView="85" zoomScalePageLayoutView="55" workbookViewId="0">
      <selection activeCell="F8" sqref="F8"/>
    </sheetView>
  </sheetViews>
  <sheetFormatPr defaultColWidth="9.33203125" defaultRowHeight="12.75" x14ac:dyDescent="0.2"/>
  <cols>
    <col min="1" max="1" width="3.6640625" style="191" hidden="1" customWidth="1"/>
    <col min="2" max="2" width="4" style="192" hidden="1" customWidth="1"/>
    <col min="3" max="3" width="8.33203125" style="204" customWidth="1"/>
    <col min="4" max="4" width="32" style="204" customWidth="1"/>
    <col min="5" max="6" width="8.6640625" style="204" customWidth="1"/>
    <col min="7" max="7" width="1.83203125" style="204" customWidth="1"/>
    <col min="8" max="8" width="7" style="232" customWidth="1"/>
    <col min="9" max="9" width="1.83203125" style="233" customWidth="1"/>
    <col min="10" max="10" width="7.1640625" style="233" customWidth="1"/>
    <col min="11" max="11" width="1.83203125" style="233" customWidth="1"/>
    <col min="12" max="12" width="7.1640625" style="233" customWidth="1"/>
    <col min="13" max="13" width="1.83203125" style="233" customWidth="1"/>
    <col min="14" max="14" width="7.1640625" style="233" customWidth="1"/>
    <col min="15" max="15" width="1.83203125" style="233" customWidth="1"/>
    <col min="16" max="16" width="7" style="234" customWidth="1"/>
    <col min="17" max="17" width="1.83203125" style="233" customWidth="1"/>
    <col min="18" max="18" width="7" style="234" customWidth="1"/>
    <col min="19" max="19" width="1.83203125" style="233" customWidth="1"/>
    <col min="20" max="20" width="7" style="234" customWidth="1"/>
    <col min="21" max="21" width="1.83203125" style="233" customWidth="1"/>
    <col min="22" max="22" width="7" style="234" customWidth="1"/>
    <col min="23" max="23" width="1.83203125" style="233" customWidth="1"/>
    <col min="24" max="24" width="7" style="232" customWidth="1"/>
    <col min="25" max="25" width="1.83203125" style="233" customWidth="1"/>
    <col min="26" max="26" width="7" style="232" customWidth="1"/>
    <col min="27" max="27" width="1.83203125" style="233" customWidth="1"/>
    <col min="28" max="28" width="7" style="232" customWidth="1"/>
    <col min="29" max="29" width="1.83203125" style="233" customWidth="1"/>
    <col min="30" max="30" width="7" style="232" customWidth="1"/>
    <col min="31" max="31" width="1.83203125" style="233" customWidth="1"/>
    <col min="32" max="32" width="7" style="232" customWidth="1"/>
    <col min="33" max="33" width="1.83203125" style="233" customWidth="1"/>
    <col min="34" max="34" width="7" style="232" customWidth="1"/>
    <col min="35" max="35" width="1.83203125" style="233" customWidth="1"/>
    <col min="36" max="36" width="7" style="234" customWidth="1"/>
    <col min="37" max="37" width="1.83203125" style="233" customWidth="1"/>
    <col min="38" max="38" width="7" style="232" customWidth="1"/>
    <col min="39" max="39" width="1.83203125" style="233" customWidth="1"/>
    <col min="40" max="40" width="7" style="232" customWidth="1"/>
    <col min="41" max="41" width="1.83203125" style="218" customWidth="1"/>
    <col min="42" max="42" width="7" style="218" customWidth="1"/>
    <col min="43" max="43" width="1.83203125" style="218" customWidth="1"/>
    <col min="44" max="44" width="7" style="218" customWidth="1"/>
    <col min="45" max="45" width="1.83203125" style="218" customWidth="1"/>
    <col min="46" max="46" width="7" style="232" customWidth="1"/>
    <col min="47" max="47" width="1.83203125" style="233" customWidth="1"/>
    <col min="48" max="48" width="7" style="218" customWidth="1"/>
    <col min="49" max="49" width="1.83203125" style="218" customWidth="1"/>
    <col min="50" max="50" width="1.83203125" style="204" customWidth="1"/>
    <col min="51" max="51" width="6.6640625" style="202" customWidth="1"/>
    <col min="52" max="52" width="30.6640625" style="202" customWidth="1"/>
    <col min="53" max="53" width="7.1640625" style="202" customWidth="1"/>
    <col min="54" max="54" width="6.33203125" style="202" customWidth="1"/>
    <col min="55" max="55" width="2.1640625" style="202" customWidth="1"/>
    <col min="56" max="56" width="6.33203125" style="202" customWidth="1"/>
    <col min="57" max="57" width="1.1640625" style="202" customWidth="1"/>
    <col min="58" max="58" width="6.33203125" style="202" customWidth="1"/>
    <col min="59" max="59" width="1.1640625" style="202" customWidth="1"/>
    <col min="60" max="60" width="6.33203125" style="202" customWidth="1"/>
    <col min="61" max="61" width="1.33203125" style="202" customWidth="1"/>
    <col min="62" max="62" width="6.33203125" style="202" customWidth="1"/>
    <col min="63" max="63" width="1.33203125" style="202" customWidth="1"/>
    <col min="64" max="64" width="6.33203125" style="202" customWidth="1"/>
    <col min="65" max="65" width="1.1640625" style="202" customWidth="1"/>
    <col min="66" max="66" width="6.33203125" style="202" customWidth="1"/>
    <col min="67" max="67" width="1.33203125" style="202" customWidth="1"/>
    <col min="68" max="68" width="6.33203125" style="202" customWidth="1"/>
    <col min="69" max="69" width="1.33203125" style="202" customWidth="1"/>
    <col min="70" max="70" width="6.33203125" style="202" customWidth="1"/>
    <col min="71" max="71" width="1.33203125" style="202" customWidth="1"/>
    <col min="72" max="72" width="6.33203125" style="202" customWidth="1"/>
    <col min="73" max="73" width="1.33203125" style="202" customWidth="1"/>
    <col min="74" max="74" width="6.33203125" style="202" customWidth="1"/>
    <col min="75" max="75" width="1.33203125" style="202" customWidth="1"/>
    <col min="76" max="76" width="6.33203125" style="202" customWidth="1"/>
    <col min="77" max="77" width="1.33203125" style="202" customWidth="1"/>
    <col min="78" max="78" width="6.33203125" style="202" customWidth="1"/>
    <col min="79" max="79" width="1.33203125" style="202" customWidth="1"/>
    <col min="80" max="80" width="6.33203125" style="202" customWidth="1"/>
    <col min="81" max="81" width="1.33203125" style="202" customWidth="1"/>
    <col min="82" max="82" width="6.33203125" style="202" customWidth="1"/>
    <col min="83" max="83" width="1.33203125" style="202" customWidth="1"/>
    <col min="84" max="84" width="6.33203125" style="202" customWidth="1"/>
    <col min="85" max="85" width="1.33203125" style="202" customWidth="1"/>
    <col min="86" max="86" width="6.33203125" style="202" customWidth="1"/>
    <col min="87" max="87" width="1.33203125" style="202" customWidth="1"/>
    <col min="88" max="88" width="6.33203125" style="202" customWidth="1"/>
    <col min="89" max="89" width="1.33203125" style="202" customWidth="1"/>
    <col min="90" max="90" width="6.33203125" style="202" customWidth="1"/>
    <col min="91" max="91" width="1.33203125" style="202" customWidth="1"/>
    <col min="92" max="92" width="6.33203125" style="202" customWidth="1"/>
    <col min="93" max="93" width="1.33203125" style="202" customWidth="1"/>
    <col min="94" max="94" width="6.33203125" style="202" customWidth="1"/>
    <col min="95" max="95" width="1.33203125" style="202" customWidth="1"/>
    <col min="96" max="96" width="6.33203125" style="202" customWidth="1"/>
    <col min="97" max="97" width="1.33203125" style="202" customWidth="1"/>
    <col min="98" max="98" width="6.33203125" style="202" customWidth="1"/>
    <col min="99" max="99" width="1.33203125" style="202" customWidth="1"/>
    <col min="100" max="100" width="6.33203125" style="202" customWidth="1"/>
    <col min="101" max="16384" width="9.33203125" style="204"/>
  </cols>
  <sheetData>
    <row r="1" spans="1:111" s="438" customFormat="1" ht="15" customHeight="1" x14ac:dyDescent="0.25">
      <c r="A1" s="437"/>
      <c r="B1" s="192">
        <v>0</v>
      </c>
      <c r="C1" s="193" t="s">
        <v>388</v>
      </c>
      <c r="D1" s="193"/>
      <c r="E1" s="344"/>
      <c r="F1" s="344"/>
      <c r="G1" s="344"/>
      <c r="H1" s="345"/>
      <c r="I1" s="346"/>
      <c r="J1" s="346"/>
      <c r="K1" s="346"/>
      <c r="L1" s="346"/>
      <c r="M1" s="346"/>
      <c r="N1" s="346"/>
      <c r="O1" s="346"/>
      <c r="P1" s="347"/>
      <c r="Q1" s="346"/>
      <c r="R1" s="347"/>
      <c r="S1" s="346"/>
      <c r="T1" s="347"/>
      <c r="U1" s="346"/>
      <c r="V1" s="347"/>
      <c r="W1" s="346"/>
      <c r="X1" s="345"/>
      <c r="Y1" s="346"/>
      <c r="Z1" s="345"/>
      <c r="AA1" s="346"/>
      <c r="AB1" s="345"/>
      <c r="AC1" s="346"/>
      <c r="AD1" s="345"/>
      <c r="AE1" s="346"/>
      <c r="AF1" s="345"/>
      <c r="AG1" s="346"/>
      <c r="AH1" s="345"/>
      <c r="AI1" s="346"/>
      <c r="AJ1" s="347"/>
      <c r="AK1" s="346"/>
      <c r="AL1" s="345"/>
      <c r="AM1" s="346"/>
      <c r="AN1" s="345"/>
      <c r="AO1" s="517"/>
      <c r="AP1" s="517"/>
      <c r="AQ1" s="517"/>
      <c r="AR1" s="517"/>
      <c r="AS1" s="517"/>
      <c r="AT1" s="345"/>
      <c r="AU1" s="346"/>
      <c r="AV1" s="517"/>
      <c r="AW1" s="517"/>
      <c r="AX1" s="480"/>
      <c r="AY1" s="203" t="s">
        <v>456</v>
      </c>
      <c r="AZ1" s="700"/>
      <c r="BA1" s="700"/>
      <c r="BB1" s="700"/>
      <c r="BC1" s="700"/>
      <c r="BD1" s="700"/>
      <c r="BE1" s="700"/>
      <c r="BF1" s="700"/>
      <c r="BG1" s="700"/>
      <c r="BH1" s="700"/>
      <c r="BI1" s="700"/>
      <c r="BJ1" s="700"/>
      <c r="BK1" s="700"/>
      <c r="BL1" s="700"/>
      <c r="BM1" s="700"/>
      <c r="BN1" s="700"/>
      <c r="BO1" s="700"/>
      <c r="BP1" s="700"/>
      <c r="BQ1" s="700"/>
      <c r="BR1" s="700"/>
      <c r="BS1" s="700"/>
      <c r="BT1" s="700"/>
      <c r="BU1" s="700"/>
      <c r="BV1" s="700"/>
      <c r="BW1" s="700"/>
      <c r="BX1" s="700"/>
      <c r="BY1" s="700"/>
      <c r="BZ1" s="700"/>
      <c r="CA1" s="700"/>
      <c r="CB1" s="700"/>
      <c r="CC1" s="700"/>
      <c r="CD1" s="700"/>
      <c r="CE1" s="700"/>
      <c r="CF1" s="700"/>
      <c r="CG1" s="700"/>
      <c r="CH1" s="700"/>
      <c r="CI1" s="700"/>
      <c r="CJ1" s="700"/>
      <c r="CK1" s="700"/>
      <c r="CL1" s="700"/>
      <c r="CM1" s="700"/>
      <c r="CN1" s="700"/>
      <c r="CO1" s="700"/>
      <c r="CP1" s="700"/>
      <c r="CQ1" s="700"/>
      <c r="CR1" s="700"/>
      <c r="CS1" s="700"/>
      <c r="CT1" s="700"/>
      <c r="CU1" s="700"/>
      <c r="CV1" s="700"/>
    </row>
    <row r="2" spans="1:111" ht="7.5" customHeight="1" x14ac:dyDescent="0.2">
      <c r="E2" s="350"/>
      <c r="F2" s="350"/>
      <c r="G2" s="350"/>
      <c r="H2" s="354"/>
      <c r="AE2" s="359"/>
      <c r="AF2" s="354"/>
      <c r="AG2" s="359"/>
      <c r="AH2" s="354"/>
      <c r="AI2" s="359"/>
      <c r="AJ2" s="427"/>
      <c r="AK2" s="359"/>
      <c r="AL2" s="354"/>
      <c r="AM2" s="359"/>
      <c r="AN2" s="354"/>
      <c r="AT2" s="354"/>
    </row>
    <row r="3" spans="1:111" s="371" customFormat="1" ht="17.25" customHeight="1" x14ac:dyDescent="0.25">
      <c r="A3" s="294"/>
      <c r="B3" s="294">
        <v>222</v>
      </c>
      <c r="C3" s="355" t="s">
        <v>58</v>
      </c>
      <c r="D3" s="28" t="s">
        <v>254</v>
      </c>
      <c r="E3" s="429"/>
      <c r="F3" s="430"/>
      <c r="G3" s="431"/>
      <c r="H3" s="432"/>
      <c r="I3" s="433"/>
      <c r="J3" s="433"/>
      <c r="K3" s="433"/>
      <c r="L3" s="433"/>
      <c r="M3" s="433"/>
      <c r="N3" s="433"/>
      <c r="O3" s="433"/>
      <c r="P3" s="432"/>
      <c r="Q3" s="433"/>
      <c r="R3" s="432"/>
      <c r="S3" s="433"/>
      <c r="T3" s="432"/>
      <c r="U3" s="433"/>
      <c r="V3" s="432"/>
      <c r="W3" s="431"/>
      <c r="X3" s="432"/>
      <c r="Y3" s="431"/>
      <c r="Z3" s="107"/>
      <c r="AA3" s="434"/>
      <c r="AB3" s="54"/>
      <c r="AC3" s="355" t="s">
        <v>509</v>
      </c>
      <c r="AD3" s="357"/>
      <c r="AE3" s="356"/>
      <c r="AF3" s="357"/>
      <c r="AG3" s="358"/>
      <c r="AH3" s="357"/>
      <c r="AI3" s="431"/>
      <c r="AJ3" s="432"/>
      <c r="AK3" s="431"/>
      <c r="AL3" s="432"/>
      <c r="AM3" s="431"/>
      <c r="AN3" s="432"/>
      <c r="AO3" s="435"/>
      <c r="AP3" s="435"/>
      <c r="AQ3" s="435"/>
      <c r="AR3" s="435"/>
      <c r="AS3" s="435"/>
      <c r="AT3" s="436"/>
      <c r="AU3" s="436"/>
      <c r="AV3" s="435"/>
      <c r="AW3" s="435"/>
      <c r="AX3" s="436"/>
      <c r="AY3" s="362" t="s">
        <v>432</v>
      </c>
      <c r="AZ3" s="440"/>
      <c r="BA3" s="369"/>
      <c r="BB3" s="441"/>
      <c r="BC3" s="441"/>
      <c r="BD3" s="481"/>
      <c r="BE3" s="481"/>
      <c r="BF3" s="481"/>
      <c r="BG3" s="481"/>
      <c r="BH3" s="442"/>
      <c r="BI3" s="442"/>
      <c r="BJ3" s="442"/>
      <c r="BK3" s="442"/>
      <c r="BL3" s="481"/>
      <c r="BM3" s="481"/>
      <c r="BN3" s="442"/>
      <c r="BO3" s="442"/>
      <c r="BP3" s="442"/>
      <c r="BQ3" s="442"/>
      <c r="BR3" s="442"/>
      <c r="BS3" s="442"/>
      <c r="BT3" s="443"/>
      <c r="BU3" s="443"/>
      <c r="BV3" s="369"/>
      <c r="BW3" s="369"/>
      <c r="BX3" s="369"/>
      <c r="BY3" s="369"/>
      <c r="BZ3" s="369"/>
      <c r="CA3" s="369"/>
      <c r="CB3" s="443"/>
      <c r="CC3" s="443"/>
      <c r="CD3" s="369"/>
      <c r="CE3" s="369"/>
      <c r="CF3" s="369"/>
      <c r="CG3" s="369"/>
      <c r="CH3" s="369"/>
      <c r="CI3" s="369"/>
      <c r="CJ3" s="369"/>
      <c r="CK3" s="369"/>
      <c r="CL3" s="369"/>
      <c r="CM3" s="369"/>
      <c r="CN3" s="369"/>
      <c r="CO3" s="369"/>
      <c r="CP3" s="369"/>
      <c r="CQ3" s="369"/>
      <c r="CR3" s="369"/>
      <c r="CS3" s="369"/>
      <c r="CT3" s="369"/>
      <c r="CU3" s="369"/>
      <c r="CV3" s="369"/>
    </row>
    <row r="4" spans="1:111" ht="3.75" customHeight="1" x14ac:dyDescent="0.25">
      <c r="C4" s="482"/>
      <c r="D4" s="482"/>
      <c r="E4" s="407"/>
      <c r="F4" s="407"/>
      <c r="G4" s="407"/>
      <c r="H4" s="354"/>
      <c r="I4" s="359"/>
      <c r="J4" s="359"/>
      <c r="K4" s="359"/>
      <c r="L4" s="359"/>
      <c r="M4" s="359"/>
      <c r="N4" s="359"/>
      <c r="O4" s="359"/>
      <c r="P4" s="427"/>
      <c r="Q4" s="359"/>
      <c r="R4" s="427"/>
      <c r="S4" s="359"/>
      <c r="T4" s="427"/>
      <c r="U4" s="359"/>
      <c r="V4" s="427"/>
      <c r="W4" s="359"/>
      <c r="X4" s="354"/>
      <c r="Y4" s="359"/>
      <c r="Z4" s="354"/>
      <c r="AA4" s="359"/>
      <c r="AB4" s="354"/>
      <c r="AC4" s="359"/>
      <c r="AD4" s="354"/>
      <c r="AE4" s="359"/>
      <c r="AF4" s="354"/>
      <c r="AG4" s="359"/>
      <c r="AH4" s="354"/>
      <c r="AI4" s="359"/>
      <c r="AJ4" s="427"/>
      <c r="AK4" s="359"/>
      <c r="AL4" s="354"/>
      <c r="AM4" s="359"/>
      <c r="AN4" s="483"/>
      <c r="AT4" s="354"/>
      <c r="AY4" s="334"/>
    </row>
    <row r="5" spans="1:111" s="438" customFormat="1" ht="17.25" customHeight="1" x14ac:dyDescent="0.25">
      <c r="A5" s="437"/>
      <c r="B5" s="192">
        <v>9</v>
      </c>
      <c r="C5" s="780" t="s">
        <v>16</v>
      </c>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c r="AI5" s="780"/>
      <c r="AJ5" s="780"/>
      <c r="AK5" s="780"/>
      <c r="AL5" s="780"/>
      <c r="AM5" s="780"/>
      <c r="AN5" s="780"/>
      <c r="AO5" s="322"/>
      <c r="AP5" s="322"/>
      <c r="AQ5" s="322"/>
      <c r="AR5" s="322"/>
      <c r="AS5" s="322"/>
      <c r="AT5" s="374"/>
      <c r="AU5" s="373"/>
      <c r="AV5" s="322"/>
      <c r="AW5" s="322"/>
      <c r="AX5" s="444"/>
      <c r="AY5" s="375" t="s">
        <v>433</v>
      </c>
      <c r="AZ5" s="700"/>
      <c r="BA5" s="700"/>
      <c r="BB5" s="700"/>
      <c r="BC5" s="700"/>
      <c r="BD5" s="700"/>
      <c r="BE5" s="700"/>
      <c r="BF5" s="700"/>
      <c r="BG5" s="700"/>
      <c r="BH5" s="700"/>
      <c r="BI5" s="700"/>
      <c r="BJ5" s="700"/>
      <c r="BK5" s="700"/>
      <c r="BL5" s="700"/>
      <c r="BM5" s="700"/>
      <c r="BN5" s="700"/>
      <c r="BO5" s="700"/>
      <c r="BP5" s="700"/>
      <c r="BQ5" s="700"/>
      <c r="BR5" s="700"/>
      <c r="BS5" s="700"/>
      <c r="BT5" s="700"/>
      <c r="BU5" s="700"/>
      <c r="BV5" s="700"/>
      <c r="BW5" s="700"/>
      <c r="BX5" s="700"/>
      <c r="BY5" s="700"/>
      <c r="BZ5" s="700"/>
      <c r="CA5" s="700"/>
      <c r="CB5" s="700"/>
      <c r="CC5" s="700"/>
      <c r="CD5" s="700"/>
      <c r="CE5" s="700"/>
      <c r="CF5" s="700"/>
      <c r="CG5" s="700"/>
      <c r="CH5" s="700"/>
      <c r="CI5" s="700"/>
      <c r="CJ5" s="700"/>
      <c r="CK5" s="700"/>
      <c r="CL5" s="700"/>
      <c r="CM5" s="700"/>
      <c r="CN5" s="700"/>
      <c r="CO5" s="700"/>
      <c r="CP5" s="700"/>
      <c r="CQ5" s="700"/>
      <c r="CR5" s="700"/>
      <c r="CS5" s="700"/>
      <c r="CT5" s="700"/>
      <c r="CU5" s="700"/>
      <c r="CV5" s="700"/>
    </row>
    <row r="6" spans="1:111" s="446" customFormat="1" ht="26.25" customHeight="1" x14ac:dyDescent="0.2">
      <c r="A6" s="445"/>
      <c r="B6" s="192"/>
      <c r="C6" s="438"/>
      <c r="D6" s="438"/>
      <c r="F6" s="649" t="s">
        <v>401</v>
      </c>
      <c r="G6" s="644"/>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376"/>
      <c r="AK6" s="377"/>
      <c r="AL6" s="376"/>
      <c r="AM6" s="232"/>
      <c r="AN6" s="376"/>
      <c r="AO6" s="378"/>
      <c r="AP6" s="378"/>
      <c r="AQ6" s="378"/>
      <c r="AR6" s="378"/>
      <c r="AS6" s="378"/>
      <c r="AT6" s="335"/>
      <c r="AV6" s="378"/>
      <c r="AW6" s="378"/>
      <c r="AX6" s="335"/>
      <c r="AY6" s="379" t="s">
        <v>428</v>
      </c>
      <c r="AZ6" s="700"/>
      <c r="BA6" s="700"/>
      <c r="BB6" s="700"/>
      <c r="BC6" s="700"/>
      <c r="BD6" s="700"/>
      <c r="BE6" s="700"/>
      <c r="BF6" s="700"/>
      <c r="BG6" s="700"/>
      <c r="BH6" s="700"/>
      <c r="BI6" s="700"/>
      <c r="BJ6" s="700"/>
      <c r="BK6" s="700"/>
      <c r="BL6" s="700"/>
      <c r="BM6" s="700"/>
      <c r="BN6" s="700"/>
      <c r="BO6" s="700"/>
      <c r="BP6" s="700"/>
      <c r="BQ6" s="700"/>
      <c r="BR6" s="700"/>
      <c r="BS6" s="700"/>
      <c r="BT6" s="700"/>
      <c r="BU6" s="700"/>
      <c r="BV6" s="700"/>
      <c r="BW6" s="700"/>
      <c r="BX6" s="700"/>
      <c r="BY6" s="700"/>
      <c r="BZ6" s="700"/>
      <c r="CA6" s="700"/>
      <c r="CB6" s="700"/>
      <c r="CC6" s="700"/>
      <c r="CD6" s="700"/>
      <c r="CE6" s="700"/>
      <c r="CF6" s="700"/>
      <c r="CG6" s="700"/>
      <c r="CH6" s="700"/>
      <c r="CI6" s="700"/>
      <c r="CJ6" s="700"/>
      <c r="CK6" s="700"/>
      <c r="CL6" s="700"/>
      <c r="CM6" s="700"/>
      <c r="CN6" s="700"/>
      <c r="CO6" s="700"/>
      <c r="CP6" s="700"/>
      <c r="CQ6" s="700"/>
      <c r="CR6" s="700"/>
      <c r="CS6" s="700"/>
      <c r="CT6" s="700"/>
      <c r="CU6" s="700"/>
      <c r="CV6" s="700"/>
    </row>
    <row r="7" spans="1:111" ht="22.5" customHeight="1" x14ac:dyDescent="0.2">
      <c r="B7" s="192">
        <v>2</v>
      </c>
      <c r="C7" s="244" t="s">
        <v>510</v>
      </c>
      <c r="D7" s="244" t="s">
        <v>511</v>
      </c>
      <c r="E7" s="244" t="s">
        <v>512</v>
      </c>
      <c r="F7" s="571">
        <v>1990</v>
      </c>
      <c r="G7" s="572"/>
      <c r="H7" s="571">
        <v>1995</v>
      </c>
      <c r="I7" s="572"/>
      <c r="J7" s="571">
        <v>2000</v>
      </c>
      <c r="K7" s="572"/>
      <c r="L7" s="571">
        <v>2001</v>
      </c>
      <c r="M7" s="573"/>
      <c r="N7" s="571">
        <v>2002</v>
      </c>
      <c r="O7" s="573"/>
      <c r="P7" s="571">
        <v>2003</v>
      </c>
      <c r="Q7" s="573"/>
      <c r="R7" s="571">
        <v>2004</v>
      </c>
      <c r="S7" s="573"/>
      <c r="T7" s="571">
        <v>2005</v>
      </c>
      <c r="U7" s="573"/>
      <c r="V7" s="571">
        <v>2006</v>
      </c>
      <c r="W7" s="573"/>
      <c r="X7" s="571">
        <v>2007</v>
      </c>
      <c r="Y7" s="573"/>
      <c r="Z7" s="571">
        <v>2008</v>
      </c>
      <c r="AA7" s="574"/>
      <c r="AB7" s="571">
        <v>2009</v>
      </c>
      <c r="AC7" s="574"/>
      <c r="AD7" s="571">
        <v>2010</v>
      </c>
      <c r="AE7" s="573"/>
      <c r="AF7" s="571">
        <v>2011</v>
      </c>
      <c r="AG7" s="573"/>
      <c r="AH7" s="571">
        <v>2012</v>
      </c>
      <c r="AI7" s="573"/>
      <c r="AJ7" s="571">
        <v>2013</v>
      </c>
      <c r="AK7" s="573"/>
      <c r="AL7" s="571">
        <v>2014</v>
      </c>
      <c r="AM7" s="573"/>
      <c r="AN7" s="571">
        <v>2015</v>
      </c>
      <c r="AO7" s="573"/>
      <c r="AP7" s="571">
        <v>2016</v>
      </c>
      <c r="AQ7" s="573"/>
      <c r="AR7" s="571">
        <v>2017</v>
      </c>
      <c r="AS7" s="573"/>
      <c r="AT7" s="571">
        <v>2018</v>
      </c>
      <c r="AU7" s="573"/>
      <c r="AV7" s="571">
        <v>2019</v>
      </c>
      <c r="AW7" s="573"/>
      <c r="AY7" s="244" t="s">
        <v>195</v>
      </c>
      <c r="AZ7" s="244" t="s">
        <v>196</v>
      </c>
      <c r="BA7" s="244" t="s">
        <v>197</v>
      </c>
      <c r="BB7" s="244">
        <v>1990</v>
      </c>
      <c r="BC7" s="244"/>
      <c r="BD7" s="244">
        <v>1995</v>
      </c>
      <c r="BE7" s="244"/>
      <c r="BF7" s="244">
        <v>2000</v>
      </c>
      <c r="BG7" s="244"/>
      <c r="BH7" s="244">
        <v>2001</v>
      </c>
      <c r="BI7" s="244"/>
      <c r="BJ7" s="244">
        <v>2002</v>
      </c>
      <c r="BK7" s="244"/>
      <c r="BL7" s="244">
        <v>2003</v>
      </c>
      <c r="BM7" s="244"/>
      <c r="BN7" s="244">
        <v>2004</v>
      </c>
      <c r="BO7" s="244"/>
      <c r="BP7" s="244">
        <v>2005</v>
      </c>
      <c r="BQ7" s="244"/>
      <c r="BR7" s="244">
        <v>2006</v>
      </c>
      <c r="BS7" s="244"/>
      <c r="BT7" s="244">
        <v>2007</v>
      </c>
      <c r="BU7" s="244"/>
      <c r="BV7" s="244">
        <v>2008</v>
      </c>
      <c r="BW7" s="244"/>
      <c r="BX7" s="244">
        <v>2009</v>
      </c>
      <c r="BY7" s="244"/>
      <c r="BZ7" s="244">
        <v>2010</v>
      </c>
      <c r="CA7" s="244"/>
      <c r="CB7" s="244">
        <v>2011</v>
      </c>
      <c r="CC7" s="244"/>
      <c r="CD7" s="244">
        <v>2012</v>
      </c>
      <c r="CE7" s="244"/>
      <c r="CF7" s="244">
        <v>2013</v>
      </c>
      <c r="CG7" s="244"/>
      <c r="CH7" s="244">
        <v>2014</v>
      </c>
      <c r="CI7" s="244"/>
      <c r="CJ7" s="244">
        <v>2015</v>
      </c>
      <c r="CK7" s="244"/>
      <c r="CL7" s="244">
        <v>2016</v>
      </c>
      <c r="CM7" s="244"/>
      <c r="CN7" s="244">
        <v>2017</v>
      </c>
      <c r="CO7" s="244"/>
      <c r="CP7" s="244">
        <v>2018</v>
      </c>
      <c r="CQ7" s="244"/>
      <c r="CR7" s="244">
        <v>2019</v>
      </c>
      <c r="CS7" s="244"/>
      <c r="CT7" s="244"/>
      <c r="CU7" s="244"/>
      <c r="CV7" s="244"/>
    </row>
    <row r="8" spans="1:111" s="461" customFormat="1" ht="33.75" x14ac:dyDescent="0.2">
      <c r="A8" s="401" t="s">
        <v>448</v>
      </c>
      <c r="B8" s="249">
        <v>163</v>
      </c>
      <c r="C8" s="452">
        <v>1</v>
      </c>
      <c r="D8" s="390" t="s">
        <v>403</v>
      </c>
      <c r="E8" s="252" t="s">
        <v>188</v>
      </c>
      <c r="F8" s="560"/>
      <c r="G8" s="568"/>
      <c r="H8" s="560"/>
      <c r="I8" s="568"/>
      <c r="J8" s="560"/>
      <c r="K8" s="568"/>
      <c r="L8" s="560"/>
      <c r="M8" s="568"/>
      <c r="N8" s="560"/>
      <c r="O8" s="568"/>
      <c r="P8" s="560"/>
      <c r="Q8" s="568"/>
      <c r="R8" s="560"/>
      <c r="S8" s="568"/>
      <c r="T8" s="560"/>
      <c r="U8" s="568"/>
      <c r="V8" s="560"/>
      <c r="W8" s="568"/>
      <c r="X8" s="560">
        <v>51.270000457763672</v>
      </c>
      <c r="Y8" s="568"/>
      <c r="Z8" s="560">
        <v>47.889999389648438</v>
      </c>
      <c r="AA8" s="568"/>
      <c r="AB8" s="560">
        <v>47.490001678466797</v>
      </c>
      <c r="AC8" s="568"/>
      <c r="AD8" s="560">
        <v>47.139999389648438</v>
      </c>
      <c r="AE8" s="568"/>
      <c r="AF8" s="560">
        <v>47.380001068115234</v>
      </c>
      <c r="AG8" s="568"/>
      <c r="AH8" s="560">
        <v>47.110000610351563</v>
      </c>
      <c r="AI8" s="568"/>
      <c r="AJ8" s="560"/>
      <c r="AK8" s="568"/>
      <c r="AL8" s="560"/>
      <c r="AM8" s="568"/>
      <c r="AN8" s="560"/>
      <c r="AO8" s="568"/>
      <c r="AP8" s="560"/>
      <c r="AQ8" s="568"/>
      <c r="AR8" s="560"/>
      <c r="AS8" s="568"/>
      <c r="AT8" s="560"/>
      <c r="AU8" s="568"/>
      <c r="AV8" s="560"/>
      <c r="AW8" s="568"/>
      <c r="AY8" s="410">
        <v>1</v>
      </c>
      <c r="AZ8" s="518" t="s">
        <v>377</v>
      </c>
      <c r="BA8" s="98" t="s">
        <v>188</v>
      </c>
      <c r="BB8" s="98" t="s">
        <v>457</v>
      </c>
      <c r="BC8" s="258"/>
      <c r="BD8" s="79" t="str">
        <f>IF(OR(ISBLANK(F8),ISBLANK(H8)),"N/A",IF(ABS(H8-F8)&gt;100,"&gt; 100%","ok"))</f>
        <v>N/A</v>
      </c>
      <c r="BE8" s="258"/>
      <c r="BF8" s="79" t="str">
        <f>IF(OR(ISBLANK(H8),ISBLANK(J8)),"N/A",IF(ABS(J8-H8)&gt;1,"&gt;100%","ok"))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ok</v>
      </c>
      <c r="BW8" s="79"/>
      <c r="BX8" s="79" t="str">
        <f>IF(OR(ISBLANK(Z8),ISBLANK(AB8)),"N/A",IF(ABS(AB8-Z8)&gt;25,"&gt; 25%","ok"))</f>
        <v>ok</v>
      </c>
      <c r="BY8" s="79"/>
      <c r="BZ8" s="79" t="str">
        <f>IF(OR(ISBLANK(AB8),ISBLANK(AD8)),"N/A",IF(ABS(AD8-AB8)&gt;25,"&gt; 25%","ok"))</f>
        <v>ok</v>
      </c>
      <c r="CA8" s="79"/>
      <c r="CB8" s="79" t="str">
        <f>IF(OR(ISBLANK(AD8),ISBLANK(AF8)),"N/A",IF(ABS(AF8-AD8)&gt;25,"&gt; 25%","ok"))</f>
        <v>ok</v>
      </c>
      <c r="CC8" s="79"/>
      <c r="CD8" s="79" t="str">
        <f>IF(OR(ISBLANK(AF8),ISBLANK(AH8)),"N/A",IF(ABS(AH8-AF8)&gt;25,"&gt; 25%","ok"))</f>
        <v>ok</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c r="CT8" s="79"/>
      <c r="CU8" s="79"/>
      <c r="CV8" s="79"/>
    </row>
    <row r="9" spans="1:111" ht="33.75" x14ac:dyDescent="0.2">
      <c r="A9" s="191" t="s">
        <v>448</v>
      </c>
      <c r="B9" s="249">
        <v>164</v>
      </c>
      <c r="C9" s="389">
        <v>2</v>
      </c>
      <c r="D9" s="268" t="s">
        <v>157</v>
      </c>
      <c r="E9" s="252" t="s">
        <v>188</v>
      </c>
      <c r="F9" s="560"/>
      <c r="G9" s="568"/>
      <c r="H9" s="560"/>
      <c r="I9" s="568"/>
      <c r="J9" s="560"/>
      <c r="K9" s="568"/>
      <c r="L9" s="560"/>
      <c r="M9" s="568"/>
      <c r="N9" s="560"/>
      <c r="O9" s="568"/>
      <c r="P9" s="560"/>
      <c r="Q9" s="568"/>
      <c r="R9" s="560"/>
      <c r="S9" s="568"/>
      <c r="T9" s="560"/>
      <c r="U9" s="568"/>
      <c r="V9" s="560"/>
      <c r="W9" s="568"/>
      <c r="X9" s="560">
        <v>3.0799999237060547</v>
      </c>
      <c r="Y9" s="568"/>
      <c r="Z9" s="560">
        <v>2.869999885559082</v>
      </c>
      <c r="AA9" s="568"/>
      <c r="AB9" s="560">
        <v>2.8499999046325684</v>
      </c>
      <c r="AC9" s="568"/>
      <c r="AD9" s="560">
        <v>2.8299999237060547</v>
      </c>
      <c r="AE9" s="568"/>
      <c r="AF9" s="560">
        <v>2.8399999141693115</v>
      </c>
      <c r="AG9" s="568"/>
      <c r="AH9" s="560">
        <v>2.8299999237060547</v>
      </c>
      <c r="AI9" s="568"/>
      <c r="AJ9" s="560"/>
      <c r="AK9" s="568"/>
      <c r="AL9" s="560"/>
      <c r="AM9" s="568"/>
      <c r="AN9" s="560"/>
      <c r="AO9" s="568"/>
      <c r="AP9" s="560"/>
      <c r="AQ9" s="568"/>
      <c r="AR9" s="560"/>
      <c r="AS9" s="568"/>
      <c r="AT9" s="560"/>
      <c r="AU9" s="568"/>
      <c r="AV9" s="560"/>
      <c r="AW9" s="568"/>
      <c r="AY9" s="393">
        <v>2</v>
      </c>
      <c r="AZ9" s="519" t="s">
        <v>378</v>
      </c>
      <c r="BA9" s="98" t="s">
        <v>188</v>
      </c>
      <c r="BB9" s="98" t="s">
        <v>457</v>
      </c>
      <c r="BC9" s="258"/>
      <c r="BD9" s="79" t="str">
        <f>IF(OR(ISBLANK(F9),ISBLANK(H9)),"N/A",IF(ABS(H9-F9)&gt;100,"&gt; 100%","ok"))</f>
        <v>N/A</v>
      </c>
      <c r="BE9" s="258"/>
      <c r="BF9" s="79" t="str">
        <f>IF(OR(ISBLANK(H9),ISBLANK(J9)),"N/A",IF(ABS(J9-H9)&gt;1,"&gt;100%","ok"))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ok</v>
      </c>
      <c r="BW9" s="79"/>
      <c r="BX9" s="79" t="str">
        <f>IF(OR(ISBLANK(Z9),ISBLANK(AB9)),"N/A",IF(ABS(AB9-Z9)&gt;25,"&gt; 25%","ok"))</f>
        <v>ok</v>
      </c>
      <c r="BY9" s="79"/>
      <c r="BZ9" s="79" t="str">
        <f>IF(OR(ISBLANK(AB9),ISBLANK(AD9)),"N/A",IF(ABS(AD9-AB9)&gt;25,"&gt; 25%","ok"))</f>
        <v>ok</v>
      </c>
      <c r="CA9" s="79"/>
      <c r="CB9" s="79" t="str">
        <f>IF(OR(ISBLANK(AD9),ISBLANK(AF9)),"N/A",IF(ABS(AF9-AD9)&gt;25,"&gt; 25%","ok"))</f>
        <v>ok</v>
      </c>
      <c r="CC9" s="79"/>
      <c r="CD9" s="79" t="str">
        <f>IF(OR(ISBLANK(AF9),ISBLANK(AH9)),"N/A",IF(ABS(AH9-AF9)&gt;25,"&gt; 25%","ok"))</f>
        <v>ok</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c r="CT9" s="79"/>
      <c r="CU9" s="79"/>
      <c r="CV9" s="79"/>
    </row>
    <row r="10" spans="1:111" ht="22.5" x14ac:dyDescent="0.2">
      <c r="B10" s="249">
        <v>296</v>
      </c>
      <c r="C10" s="252">
        <v>3</v>
      </c>
      <c r="D10" s="520" t="s">
        <v>126</v>
      </c>
      <c r="E10" s="252" t="s">
        <v>188</v>
      </c>
      <c r="F10" s="561"/>
      <c r="G10" s="565"/>
      <c r="H10" s="561"/>
      <c r="I10" s="565"/>
      <c r="J10" s="561"/>
      <c r="K10" s="565"/>
      <c r="L10" s="561"/>
      <c r="M10" s="565"/>
      <c r="N10" s="561"/>
      <c r="O10" s="565"/>
      <c r="P10" s="561"/>
      <c r="Q10" s="565"/>
      <c r="R10" s="561"/>
      <c r="S10" s="565"/>
      <c r="T10" s="561"/>
      <c r="U10" s="565"/>
      <c r="V10" s="561"/>
      <c r="W10" s="565"/>
      <c r="X10" s="561"/>
      <c r="Y10" s="565"/>
      <c r="Z10" s="561"/>
      <c r="AA10" s="565"/>
      <c r="AB10" s="561"/>
      <c r="AC10" s="565"/>
      <c r="AD10" s="561"/>
      <c r="AE10" s="565"/>
      <c r="AF10" s="561"/>
      <c r="AG10" s="565"/>
      <c r="AH10" s="561"/>
      <c r="AI10" s="565"/>
      <c r="AJ10" s="561"/>
      <c r="AK10" s="565"/>
      <c r="AL10" s="561"/>
      <c r="AM10" s="565"/>
      <c r="AN10" s="561"/>
      <c r="AO10" s="565"/>
      <c r="AP10" s="561"/>
      <c r="AQ10" s="565"/>
      <c r="AR10" s="561"/>
      <c r="AS10" s="565"/>
      <c r="AT10" s="561"/>
      <c r="AU10" s="565"/>
      <c r="AV10" s="561"/>
      <c r="AW10" s="565"/>
      <c r="AY10" s="98">
        <v>3</v>
      </c>
      <c r="AZ10" s="521" t="s">
        <v>370</v>
      </c>
      <c r="BA10" s="98" t="s">
        <v>188</v>
      </c>
      <c r="BB10" s="81" t="s">
        <v>457</v>
      </c>
      <c r="BC10" s="262"/>
      <c r="BD10" s="79" t="str">
        <f>IF(OR(ISBLANK(F10),ISBLANK(H10)),"N/A",IF(ABS(H10-F10)&gt;100,"&gt; 100%","ok"))</f>
        <v>N/A</v>
      </c>
      <c r="BE10" s="262"/>
      <c r="BF10" s="79" t="str">
        <f>IF(OR(ISBLANK(H10),ISBLANK(J10)),"N/A",IF(ABS(J10-H10)&gt;1,"&gt;100%","ok"))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c r="CT10" s="79"/>
      <c r="CU10" s="79"/>
      <c r="CV10" s="79"/>
    </row>
    <row r="11" spans="1:111" ht="36" customHeight="1" x14ac:dyDescent="0.2">
      <c r="B11" s="249">
        <v>165</v>
      </c>
      <c r="C11" s="385">
        <v>4</v>
      </c>
      <c r="D11" s="266" t="s">
        <v>53</v>
      </c>
      <c r="E11" s="252" t="s">
        <v>188</v>
      </c>
      <c r="F11" s="561"/>
      <c r="G11" s="565"/>
      <c r="H11" s="561"/>
      <c r="I11" s="565"/>
      <c r="J11" s="561"/>
      <c r="K11" s="565"/>
      <c r="L11" s="561"/>
      <c r="M11" s="565"/>
      <c r="N11" s="561"/>
      <c r="O11" s="565"/>
      <c r="P11" s="561"/>
      <c r="Q11" s="565"/>
      <c r="R11" s="561"/>
      <c r="S11" s="565"/>
      <c r="T11" s="561"/>
      <c r="U11" s="565"/>
      <c r="V11" s="561"/>
      <c r="W11" s="565"/>
      <c r="X11" s="561"/>
      <c r="Y11" s="565"/>
      <c r="Z11" s="561"/>
      <c r="AA11" s="565"/>
      <c r="AB11" s="561"/>
      <c r="AC11" s="565"/>
      <c r="AD11" s="561"/>
      <c r="AE11" s="565"/>
      <c r="AF11" s="561"/>
      <c r="AG11" s="565"/>
      <c r="AH11" s="561"/>
      <c r="AI11" s="565"/>
      <c r="AJ11" s="561"/>
      <c r="AK11" s="565"/>
      <c r="AL11" s="561"/>
      <c r="AM11" s="565"/>
      <c r="AN11" s="561"/>
      <c r="AO11" s="565"/>
      <c r="AP11" s="561"/>
      <c r="AQ11" s="565"/>
      <c r="AR11" s="561"/>
      <c r="AS11" s="565"/>
      <c r="AT11" s="561"/>
      <c r="AU11" s="565"/>
      <c r="AV11" s="561"/>
      <c r="AW11" s="565"/>
      <c r="AY11" s="81">
        <v>4</v>
      </c>
      <c r="AZ11" s="277" t="s">
        <v>375</v>
      </c>
      <c r="BA11" s="98" t="s">
        <v>188</v>
      </c>
      <c r="BB11" s="81" t="s">
        <v>457</v>
      </c>
      <c r="BC11" s="262"/>
      <c r="BD11" s="79" t="str">
        <f>IF(OR(ISBLANK(F11),ISBLANK(H11)),"N/A",IF(ABS(H11-F11)&gt;100,"&gt; 100%","ok"))</f>
        <v>N/A</v>
      </c>
      <c r="BE11" s="262"/>
      <c r="BF11" s="79" t="str">
        <f>IF(OR(ISBLANK(H11),ISBLANK(J11)),"N/A",IF(ABS(J11-H11)&gt;1,"&gt;100%","ok"))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c r="CT11" s="79"/>
      <c r="CU11" s="79"/>
      <c r="CV11" s="79"/>
    </row>
    <row r="12" spans="1:111" ht="36" customHeight="1" x14ac:dyDescent="0.2">
      <c r="B12" s="249">
        <v>298</v>
      </c>
      <c r="C12" s="279">
        <v>5</v>
      </c>
      <c r="D12" s="280" t="s">
        <v>65</v>
      </c>
      <c r="E12" s="279" t="s">
        <v>188</v>
      </c>
      <c r="F12" s="576"/>
      <c r="G12" s="577"/>
      <c r="H12" s="576"/>
      <c r="I12" s="577"/>
      <c r="J12" s="576"/>
      <c r="K12" s="577"/>
      <c r="L12" s="576"/>
      <c r="M12" s="577"/>
      <c r="N12" s="576"/>
      <c r="O12" s="577"/>
      <c r="P12" s="576"/>
      <c r="Q12" s="577"/>
      <c r="R12" s="576"/>
      <c r="S12" s="577"/>
      <c r="T12" s="576"/>
      <c r="U12" s="577"/>
      <c r="V12" s="576"/>
      <c r="W12" s="577"/>
      <c r="X12" s="576"/>
      <c r="Y12" s="577"/>
      <c r="Z12" s="576"/>
      <c r="AA12" s="577"/>
      <c r="AB12" s="576"/>
      <c r="AC12" s="577"/>
      <c r="AD12" s="576"/>
      <c r="AE12" s="577"/>
      <c r="AF12" s="576"/>
      <c r="AG12" s="577"/>
      <c r="AH12" s="576"/>
      <c r="AI12" s="577"/>
      <c r="AJ12" s="576"/>
      <c r="AK12" s="577"/>
      <c r="AL12" s="576"/>
      <c r="AM12" s="577"/>
      <c r="AN12" s="576"/>
      <c r="AO12" s="577"/>
      <c r="AP12" s="576"/>
      <c r="AQ12" s="577"/>
      <c r="AR12" s="576"/>
      <c r="AS12" s="577"/>
      <c r="AT12" s="576"/>
      <c r="AU12" s="577"/>
      <c r="AV12" s="576"/>
      <c r="AW12" s="577"/>
      <c r="AY12" s="96">
        <v>5</v>
      </c>
      <c r="AZ12" s="462" t="s">
        <v>447</v>
      </c>
      <c r="BA12" s="96" t="s">
        <v>188</v>
      </c>
      <c r="BB12" s="96" t="s">
        <v>457</v>
      </c>
      <c r="BC12" s="283"/>
      <c r="BD12" s="96" t="str">
        <f>IF(OR(ISBLANK(F12),ISBLANK(H12)),"N/A",IF(ABS(H12-F12)&gt;100,"&gt; 100%","ok"))</f>
        <v>N/A</v>
      </c>
      <c r="BE12" s="283"/>
      <c r="BF12" s="80" t="str">
        <f>IF(OR(ISBLANK(H12),ISBLANK(J12)),"N/A",IF(ABS(J12-H12)&gt;1,"&gt;100%","ok"))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c r="CT12" s="80"/>
      <c r="CU12" s="80"/>
      <c r="CV12" s="80"/>
    </row>
    <row r="13" spans="1:111" x14ac:dyDescent="0.2">
      <c r="C13" s="496"/>
      <c r="D13" s="219"/>
      <c r="E13" s="309"/>
      <c r="F13" s="219"/>
      <c r="G13" s="219"/>
      <c r="H13" s="219"/>
      <c r="I13" s="218"/>
      <c r="J13" s="218"/>
      <c r="K13" s="218"/>
      <c r="L13" s="218"/>
      <c r="M13" s="218"/>
      <c r="N13" s="218"/>
      <c r="O13" s="218"/>
      <c r="P13" s="304"/>
      <c r="Q13" s="218"/>
      <c r="R13" s="304"/>
      <c r="S13" s="218"/>
      <c r="T13" s="304"/>
      <c r="U13" s="218"/>
      <c r="V13" s="304"/>
      <c r="W13" s="218"/>
      <c r="X13" s="219"/>
      <c r="Y13" s="218"/>
      <c r="Z13" s="219"/>
      <c r="AA13" s="218"/>
      <c r="AB13" s="219"/>
      <c r="AC13" s="218"/>
      <c r="AD13" s="219"/>
      <c r="AE13" s="218"/>
      <c r="AF13" s="219"/>
      <c r="AG13" s="218"/>
      <c r="AH13" s="219"/>
      <c r="AI13" s="218"/>
      <c r="AJ13" s="304"/>
      <c r="AK13" s="218"/>
      <c r="AL13" s="219"/>
      <c r="AM13" s="218"/>
      <c r="AN13" s="219"/>
    </row>
    <row r="14" spans="1:111" x14ac:dyDescent="0.2">
      <c r="C14" s="372" t="s">
        <v>480</v>
      </c>
      <c r="D14" s="285"/>
      <c r="E14" s="464"/>
      <c r="F14" s="372"/>
      <c r="G14" s="372"/>
      <c r="AY14" s="379" t="s">
        <v>429</v>
      </c>
    </row>
    <row r="15" spans="1:111" ht="24.95" customHeight="1" x14ac:dyDescent="0.2">
      <c r="A15" s="294"/>
      <c r="B15" s="294"/>
      <c r="C15" s="292" t="s">
        <v>474</v>
      </c>
      <c r="D15" s="785" t="s">
        <v>64</v>
      </c>
      <c r="E15" s="785"/>
      <c r="F15" s="785"/>
      <c r="G15" s="785"/>
      <c r="H15" s="785"/>
      <c r="I15" s="785"/>
      <c r="J15" s="785"/>
      <c r="K15" s="785"/>
      <c r="L15" s="785"/>
      <c r="M15" s="785"/>
      <c r="N15" s="785"/>
      <c r="O15" s="785"/>
      <c r="P15" s="785"/>
      <c r="Q15" s="785"/>
      <c r="R15" s="785"/>
      <c r="S15" s="785"/>
      <c r="T15" s="785"/>
      <c r="U15" s="785"/>
      <c r="V15" s="785"/>
      <c r="W15" s="785"/>
      <c r="X15" s="785"/>
      <c r="Y15" s="785"/>
      <c r="Z15" s="785"/>
      <c r="AA15" s="785"/>
      <c r="AB15" s="785"/>
      <c r="AC15" s="785"/>
      <c r="AD15" s="785"/>
      <c r="AE15" s="785"/>
      <c r="AF15" s="785"/>
      <c r="AG15" s="785"/>
      <c r="AH15" s="785"/>
      <c r="AI15" s="785"/>
      <c r="AJ15" s="785"/>
      <c r="AK15" s="785"/>
      <c r="AL15" s="785"/>
      <c r="AM15" s="785"/>
      <c r="AN15" s="785"/>
      <c r="AO15" s="785"/>
      <c r="AP15" s="785"/>
      <c r="AQ15" s="785"/>
      <c r="AR15" s="785"/>
      <c r="AS15" s="785"/>
      <c r="AT15" s="785"/>
      <c r="AU15" s="785"/>
      <c r="AV15" s="785"/>
      <c r="AW15" s="785"/>
      <c r="AX15" s="785"/>
      <c r="AY15" s="244" t="s">
        <v>195</v>
      </c>
      <c r="AZ15" s="244" t="s">
        <v>196</v>
      </c>
      <c r="BA15" s="244" t="s">
        <v>197</v>
      </c>
      <c r="BB15" s="571">
        <v>1990</v>
      </c>
      <c r="BC15" s="572"/>
      <c r="BD15" s="571">
        <v>1995</v>
      </c>
      <c r="BE15" s="572"/>
      <c r="BF15" s="571">
        <v>2000</v>
      </c>
      <c r="BG15" s="572"/>
      <c r="BH15" s="571">
        <v>2001</v>
      </c>
      <c r="BI15" s="572"/>
      <c r="BJ15" s="571">
        <v>2002</v>
      </c>
      <c r="BK15" s="572"/>
      <c r="BL15" s="571">
        <v>2003</v>
      </c>
      <c r="BM15" s="572"/>
      <c r="BN15" s="571">
        <v>2004</v>
      </c>
      <c r="BO15" s="572"/>
      <c r="BP15" s="571">
        <v>2005</v>
      </c>
      <c r="BQ15" s="572"/>
      <c r="BR15" s="571">
        <v>2006</v>
      </c>
      <c r="BS15" s="572"/>
      <c r="BT15" s="571">
        <v>2007</v>
      </c>
      <c r="BU15" s="572"/>
      <c r="BV15" s="571">
        <v>2008</v>
      </c>
      <c r="BW15" s="572"/>
      <c r="BX15" s="571">
        <v>2009</v>
      </c>
      <c r="BY15" s="572"/>
      <c r="BZ15" s="571">
        <v>2010</v>
      </c>
      <c r="CA15" s="572"/>
      <c r="CB15" s="571">
        <v>2011</v>
      </c>
      <c r="CC15" s="575"/>
      <c r="CD15" s="571">
        <v>2012</v>
      </c>
      <c r="CE15" s="572"/>
      <c r="CF15" s="571">
        <v>2013</v>
      </c>
      <c r="CG15" s="572"/>
      <c r="CH15" s="571">
        <v>2014</v>
      </c>
      <c r="CI15" s="575"/>
      <c r="CJ15" s="571">
        <v>2015</v>
      </c>
      <c r="CK15" s="572"/>
      <c r="CL15" s="244">
        <v>2016</v>
      </c>
      <c r="CM15" s="244"/>
      <c r="CN15" s="244">
        <v>2017</v>
      </c>
      <c r="CO15" s="244"/>
      <c r="CP15" s="244">
        <v>2018</v>
      </c>
      <c r="CQ15" s="244"/>
      <c r="CR15" s="244">
        <v>2019</v>
      </c>
      <c r="CS15" s="572"/>
      <c r="CT15" s="571"/>
      <c r="CU15" s="575"/>
      <c r="CV15" s="571"/>
      <c r="CW15" s="297"/>
      <c r="CX15" s="297"/>
      <c r="CY15" s="297"/>
      <c r="CZ15" s="297"/>
      <c r="DA15" s="297"/>
      <c r="DB15" s="297"/>
      <c r="DC15" s="297"/>
      <c r="DD15" s="297"/>
      <c r="DE15" s="297"/>
      <c r="DF15" s="297"/>
      <c r="DG15" s="297"/>
    </row>
    <row r="16" spans="1:111" ht="22.5" x14ac:dyDescent="0.2">
      <c r="A16" s="294"/>
      <c r="B16" s="294"/>
      <c r="C16" s="292" t="s">
        <v>474</v>
      </c>
      <c r="D16" s="783" t="s">
        <v>118</v>
      </c>
      <c r="E16" s="783"/>
      <c r="F16" s="783"/>
      <c r="G16" s="783"/>
      <c r="H16" s="783"/>
      <c r="I16" s="783"/>
      <c r="J16" s="783"/>
      <c r="K16" s="783"/>
      <c r="L16" s="783"/>
      <c r="M16" s="783"/>
      <c r="N16" s="783"/>
      <c r="O16" s="783"/>
      <c r="P16" s="783"/>
      <c r="Q16" s="783"/>
      <c r="R16" s="783"/>
      <c r="S16" s="783"/>
      <c r="T16" s="783"/>
      <c r="U16" s="783"/>
      <c r="V16" s="783"/>
      <c r="W16" s="783"/>
      <c r="X16" s="783"/>
      <c r="Y16" s="783"/>
      <c r="Z16" s="783"/>
      <c r="AA16" s="783"/>
      <c r="AB16" s="783"/>
      <c r="AC16" s="783"/>
      <c r="AD16" s="783"/>
      <c r="AE16" s="783"/>
      <c r="AF16" s="783"/>
      <c r="AG16" s="783"/>
      <c r="AH16" s="783"/>
      <c r="AI16" s="783"/>
      <c r="AJ16" s="783"/>
      <c r="AK16" s="783"/>
      <c r="AL16" s="783"/>
      <c r="AM16" s="783"/>
      <c r="AN16" s="783"/>
      <c r="AO16" s="783"/>
      <c r="AP16" s="783"/>
      <c r="AQ16" s="783"/>
      <c r="AR16" s="783"/>
      <c r="AS16" s="783"/>
      <c r="AT16" s="783"/>
      <c r="AU16" s="783"/>
      <c r="AV16" s="783"/>
      <c r="AW16" s="783"/>
      <c r="AX16" s="783"/>
      <c r="AY16" s="410">
        <v>1</v>
      </c>
      <c r="AZ16" s="518" t="s">
        <v>377</v>
      </c>
      <c r="BA16" s="98" t="s">
        <v>188</v>
      </c>
      <c r="BB16" s="98">
        <f>F8</f>
        <v>0</v>
      </c>
      <c r="BC16" s="98"/>
      <c r="BD16" s="98">
        <f>H8</f>
        <v>0</v>
      </c>
      <c r="BE16" s="98"/>
      <c r="BF16" s="98">
        <f>J8</f>
        <v>0</v>
      </c>
      <c r="BG16" s="98"/>
      <c r="BH16" s="98">
        <f>L8</f>
        <v>0</v>
      </c>
      <c r="BI16" s="98"/>
      <c r="BJ16" s="98">
        <f>N8</f>
        <v>0</v>
      </c>
      <c r="BK16" s="98"/>
      <c r="BL16" s="98">
        <f>P8</f>
        <v>0</v>
      </c>
      <c r="BM16" s="98"/>
      <c r="BN16" s="98">
        <f>R8</f>
        <v>0</v>
      </c>
      <c r="BO16" s="98"/>
      <c r="BP16" s="98">
        <f>T8</f>
        <v>0</v>
      </c>
      <c r="BQ16" s="98"/>
      <c r="BR16" s="98">
        <f>V8</f>
        <v>0</v>
      </c>
      <c r="BS16" s="98"/>
      <c r="BT16" s="98">
        <f>X8</f>
        <v>51.270000457763672</v>
      </c>
      <c r="BU16" s="98"/>
      <c r="BV16" s="98">
        <f>Z8</f>
        <v>47.889999389648438</v>
      </c>
      <c r="BW16" s="98"/>
      <c r="BX16" s="98">
        <f>AB8</f>
        <v>47.490001678466797</v>
      </c>
      <c r="BY16" s="98"/>
      <c r="BZ16" s="98">
        <f>AD8</f>
        <v>47.139999389648438</v>
      </c>
      <c r="CA16" s="98"/>
      <c r="CB16" s="98">
        <f>AF8</f>
        <v>47.380001068115234</v>
      </c>
      <c r="CC16" s="98"/>
      <c r="CD16" s="98">
        <f>AH8</f>
        <v>47.110000610351563</v>
      </c>
      <c r="CE16" s="258"/>
      <c r="CF16" s="98">
        <f>AJ8</f>
        <v>0</v>
      </c>
      <c r="CG16" s="98"/>
      <c r="CH16" s="98">
        <f>AL8</f>
        <v>0</v>
      </c>
      <c r="CI16" s="98"/>
      <c r="CJ16" s="98">
        <f>AN8</f>
        <v>0</v>
      </c>
      <c r="CK16" s="98"/>
      <c r="CL16" s="98">
        <f>AP8</f>
        <v>0</v>
      </c>
      <c r="CM16" s="258"/>
      <c r="CN16" s="98">
        <f>AR8</f>
        <v>0</v>
      </c>
      <c r="CO16" s="98"/>
      <c r="CP16" s="98">
        <f>AT8</f>
        <v>0</v>
      </c>
      <c r="CQ16" s="98"/>
      <c r="CR16" s="98">
        <f>AV8</f>
        <v>0</v>
      </c>
      <c r="CS16" s="98"/>
      <c r="CT16" s="98"/>
      <c r="CU16" s="98"/>
      <c r="CV16" s="98"/>
      <c r="CW16" s="297"/>
      <c r="CX16" s="297"/>
      <c r="CY16" s="297"/>
      <c r="CZ16" s="297"/>
      <c r="DA16" s="297"/>
      <c r="DB16" s="297"/>
      <c r="DC16" s="297"/>
      <c r="DD16" s="297"/>
      <c r="DE16" s="297"/>
      <c r="DF16" s="297"/>
      <c r="DG16" s="297"/>
    </row>
    <row r="17" spans="1:111" ht="24.95" customHeight="1" x14ac:dyDescent="0.2">
      <c r="A17" s="294"/>
      <c r="B17" s="294"/>
      <c r="C17" s="292"/>
      <c r="D17" s="786"/>
      <c r="E17" s="785"/>
      <c r="F17" s="785"/>
      <c r="G17" s="785"/>
      <c r="H17" s="785"/>
      <c r="I17" s="785"/>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785"/>
      <c r="AI17" s="785"/>
      <c r="AJ17" s="785"/>
      <c r="AK17" s="785"/>
      <c r="AL17" s="785"/>
      <c r="AM17" s="785"/>
      <c r="AN17" s="785"/>
      <c r="AO17" s="785"/>
      <c r="AP17" s="785"/>
      <c r="AQ17" s="785"/>
      <c r="AR17" s="785"/>
      <c r="AS17" s="785"/>
      <c r="AT17" s="785"/>
      <c r="AU17" s="785"/>
      <c r="AV17" s="785"/>
      <c r="AW17" s="785"/>
      <c r="AX17" s="785"/>
      <c r="AY17" s="393">
        <v>2</v>
      </c>
      <c r="AZ17" s="519" t="s">
        <v>378</v>
      </c>
      <c r="BA17" s="98" t="s">
        <v>188</v>
      </c>
      <c r="BB17" s="98">
        <f>F9</f>
        <v>0</v>
      </c>
      <c r="BC17" s="98"/>
      <c r="BD17" s="98">
        <f>H9</f>
        <v>0</v>
      </c>
      <c r="BE17" s="98"/>
      <c r="BF17" s="98">
        <f>J9</f>
        <v>0</v>
      </c>
      <c r="BG17" s="98"/>
      <c r="BH17" s="98">
        <f>L9</f>
        <v>0</v>
      </c>
      <c r="BI17" s="98"/>
      <c r="BJ17" s="98">
        <f>N9</f>
        <v>0</v>
      </c>
      <c r="BK17" s="98"/>
      <c r="BL17" s="98">
        <f>P9</f>
        <v>0</v>
      </c>
      <c r="BM17" s="98"/>
      <c r="BN17" s="98">
        <f>R9</f>
        <v>0</v>
      </c>
      <c r="BO17" s="98"/>
      <c r="BP17" s="98">
        <f>T9</f>
        <v>0</v>
      </c>
      <c r="BQ17" s="98"/>
      <c r="BR17" s="98">
        <f>V9</f>
        <v>0</v>
      </c>
      <c r="BS17" s="98"/>
      <c r="BT17" s="98">
        <f>X9</f>
        <v>3.0799999237060547</v>
      </c>
      <c r="BU17" s="98"/>
      <c r="BV17" s="98">
        <f>Z9</f>
        <v>2.869999885559082</v>
      </c>
      <c r="BW17" s="98"/>
      <c r="BX17" s="98">
        <f>AB9</f>
        <v>2.8499999046325684</v>
      </c>
      <c r="BY17" s="98"/>
      <c r="BZ17" s="98">
        <f>AD9</f>
        <v>2.8299999237060547</v>
      </c>
      <c r="CA17" s="98"/>
      <c r="CB17" s="98">
        <f>AF9</f>
        <v>2.8399999141693115</v>
      </c>
      <c r="CC17" s="98"/>
      <c r="CD17" s="98">
        <f>AH9</f>
        <v>2.8299999237060547</v>
      </c>
      <c r="CE17" s="258"/>
      <c r="CF17" s="98">
        <f>AJ9</f>
        <v>0</v>
      </c>
      <c r="CG17" s="98"/>
      <c r="CH17" s="98">
        <f>AL9</f>
        <v>0</v>
      </c>
      <c r="CI17" s="98"/>
      <c r="CJ17" s="98">
        <f>AN9</f>
        <v>0</v>
      </c>
      <c r="CK17" s="98"/>
      <c r="CL17" s="98">
        <f>AP9</f>
        <v>0</v>
      </c>
      <c r="CM17" s="258"/>
      <c r="CN17" s="98">
        <f>AR9</f>
        <v>0</v>
      </c>
      <c r="CO17" s="98"/>
      <c r="CP17" s="98">
        <f>AT9</f>
        <v>0</v>
      </c>
      <c r="CQ17" s="98"/>
      <c r="CR17" s="98">
        <f>AV9</f>
        <v>0</v>
      </c>
      <c r="CS17" s="98"/>
      <c r="CT17" s="98"/>
      <c r="CU17" s="98"/>
      <c r="CV17" s="98"/>
      <c r="CW17" s="297"/>
      <c r="CX17" s="297"/>
      <c r="CY17" s="297"/>
      <c r="CZ17" s="297"/>
      <c r="DA17" s="297"/>
      <c r="DB17" s="297"/>
      <c r="DC17" s="297"/>
      <c r="DD17" s="297"/>
      <c r="DE17" s="297"/>
      <c r="DF17" s="297"/>
      <c r="DG17" s="297"/>
    </row>
    <row r="18" spans="1:111" s="213" customFormat="1" ht="24.95" customHeight="1" x14ac:dyDescent="0.2">
      <c r="A18" s="191"/>
      <c r="B18" s="192"/>
      <c r="C18" s="41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300" t="s">
        <v>136</v>
      </c>
      <c r="AZ18" s="296" t="s">
        <v>431</v>
      </c>
      <c r="BA18" s="98"/>
      <c r="BB18" s="98" t="str">
        <f>IF(OR(ISBLANK(F8),ISBLANK(F9)),"N/A",IF(BB16&gt;=BB17,"ok","&lt;&gt;"))</f>
        <v>N/A</v>
      </c>
      <c r="BC18" s="98"/>
      <c r="BD18" s="98" t="str">
        <f>IF(OR(ISBLANK(H8),ISBLANK(H9)),"N/A",IF(BD16&gt;=BD17,"ok","&lt;&gt;"))</f>
        <v>N/A</v>
      </c>
      <c r="BE18" s="98"/>
      <c r="BF18" s="98" t="str">
        <f>IF(OR(ISBLANK(J8),ISBLANK(J9)),"N/A",IF(BF16&gt;=BF17,"ok","&lt;&gt;"))</f>
        <v>N/A</v>
      </c>
      <c r="BG18" s="98"/>
      <c r="BH18" s="98" t="str">
        <f>IF(OR(ISBLANK(L8),ISBLANK(L9)),"N/A",IF(BH16&gt;=BH17,"ok","&lt;&gt;"))</f>
        <v>N/A</v>
      </c>
      <c r="BI18" s="98"/>
      <c r="BJ18" s="98" t="str">
        <f>IF(OR(ISBLANK(N8),ISBLANK(N9)),"N/A",IF(BJ16&gt;=BJ17,"ok","&lt;&gt;"))</f>
        <v>N/A</v>
      </c>
      <c r="BK18" s="98"/>
      <c r="BL18" s="98" t="str">
        <f>IF(OR(ISBLANK(P8),ISBLANK(P9)),"N/A",IF(BL16&gt;=BL17,"ok","&lt;&gt;"))</f>
        <v>N/A</v>
      </c>
      <c r="BM18" s="98"/>
      <c r="BN18" s="98" t="str">
        <f>IF(OR(ISBLANK(R8),ISBLANK(R9)),"N/A",IF(BN16&gt;=BN17,"ok","&lt;&gt;"))</f>
        <v>N/A</v>
      </c>
      <c r="BO18" s="98"/>
      <c r="BP18" s="98" t="str">
        <f>IF(OR(ISBLANK(T8),ISBLANK(T9)),"N/A",IF(BP16&gt;=BP17,"ok","&lt;&gt;"))</f>
        <v>N/A</v>
      </c>
      <c r="BQ18" s="98"/>
      <c r="BR18" s="98" t="str">
        <f>IF(OR(ISBLANK(V8),ISBLANK(V9)),"N/A",IF(BR16&gt;=BR17,"ok","&lt;&gt;"))</f>
        <v>N/A</v>
      </c>
      <c r="BS18" s="98"/>
      <c r="BT18" s="98" t="str">
        <f>IF(OR(ISBLANK(X8),ISBLANK(X9)),"N/A",IF(BT16&gt;=BT17,"ok","&lt;&gt;"))</f>
        <v>ok</v>
      </c>
      <c r="BU18" s="98"/>
      <c r="BV18" s="98" t="str">
        <f>IF(OR(ISBLANK(Z8),ISBLANK(Z9)),"N/A",IF(BV16&gt;=BV17,"ok","&lt;&gt;"))</f>
        <v>ok</v>
      </c>
      <c r="BW18" s="98"/>
      <c r="BX18" s="98" t="str">
        <f>IF(OR(ISBLANK(AB8),ISBLANK(AB9)),"N/A",IF(BX16&gt;=BX17,"ok","&lt;&gt;"))</f>
        <v>ok</v>
      </c>
      <c r="BY18" s="98"/>
      <c r="BZ18" s="98" t="str">
        <f>IF(OR(ISBLANK(AD8),ISBLANK(AD9)),"N/A",IF(BZ16&gt;=BZ17,"ok","&lt;&gt;"))</f>
        <v>ok</v>
      </c>
      <c r="CA18" s="98"/>
      <c r="CB18" s="98" t="str">
        <f>IF(OR(ISBLANK(AF8),ISBLANK(AF9)),"N/A",IF(CB16&gt;=CB17,"ok","&lt;&gt;"))</f>
        <v>ok</v>
      </c>
      <c r="CC18" s="98"/>
      <c r="CD18" s="98" t="str">
        <f>IF(OR(ISBLANK(AH8),ISBLANK(AH9)),"N/A",IF(CD16&gt;=CD17,"ok","&lt;&gt;"))</f>
        <v>ok</v>
      </c>
      <c r="CE18" s="258"/>
      <c r="CF18" s="98" t="str">
        <f>IF(OR(ISBLANK(AJ8),ISBLANK(AJ9)),"N/A",IF(CF16&gt;=CF17,"ok","&lt;&gt;"))</f>
        <v>N/A</v>
      </c>
      <c r="CG18" s="98"/>
      <c r="CH18" s="98" t="str">
        <f>IF(OR(ISBLANK(AL8),ISBLANK(AL9)),"N/A",IF(CH16&gt;=CH17,"ok","&lt;&gt;"))</f>
        <v>N/A</v>
      </c>
      <c r="CI18" s="98"/>
      <c r="CJ18" s="98" t="str">
        <f>IF(OR(ISBLANK(AN8),ISBLANK(AN9)),"N/A",IF(CJ16&gt;=CJ17,"ok","&lt;&gt;"))</f>
        <v>N/A</v>
      </c>
      <c r="CK18" s="98"/>
      <c r="CL18" s="98" t="str">
        <f>IF(OR(ISBLANK(AP8),ISBLANK(AP9)),"N/A",IF(CL16&gt;=CL17,"ok","&lt;&gt;"))</f>
        <v>N/A</v>
      </c>
      <c r="CM18" s="258"/>
      <c r="CN18" s="98" t="str">
        <f>IF(OR(ISBLANK(AR8),ISBLANK(AR9)),"N/A",IF(CN16&gt;=CN17,"ok","&lt;&gt;"))</f>
        <v>N/A</v>
      </c>
      <c r="CO18" s="98"/>
      <c r="CP18" s="98" t="str">
        <f>IF(OR(ISBLANK(AT8),ISBLANK(AT9)),"N/A",IF(CP16&gt;=CP17,"ok","&lt;&gt;"))</f>
        <v>N/A</v>
      </c>
      <c r="CQ18" s="98"/>
      <c r="CR18" s="98" t="str">
        <f>IF(OR(ISBLANK(AV8),ISBLANK(AV9)),"N/A",IF(CR16&gt;=CR17,"ok","&lt;&gt;"))</f>
        <v>N/A</v>
      </c>
      <c r="CS18" s="98"/>
      <c r="CT18" s="98"/>
      <c r="CU18" s="98"/>
      <c r="CV18" s="98"/>
    </row>
    <row r="19" spans="1:111" s="438" customFormat="1" ht="22.5" x14ac:dyDescent="0.25">
      <c r="A19" s="437"/>
      <c r="B19" s="426">
        <v>3</v>
      </c>
      <c r="C19" s="318" t="s">
        <v>119</v>
      </c>
      <c r="D19" s="413"/>
      <c r="E19" s="318"/>
      <c r="F19" s="224"/>
      <c r="G19" s="224"/>
      <c r="H19" s="321"/>
      <c r="I19" s="322"/>
      <c r="J19" s="322"/>
      <c r="K19" s="322"/>
      <c r="L19" s="322"/>
      <c r="M19" s="322"/>
      <c r="N19" s="322"/>
      <c r="O19" s="322"/>
      <c r="P19" s="323"/>
      <c r="Q19" s="322"/>
      <c r="R19" s="323"/>
      <c r="S19" s="322"/>
      <c r="T19" s="323"/>
      <c r="U19" s="322"/>
      <c r="V19" s="323"/>
      <c r="W19" s="322"/>
      <c r="X19" s="321"/>
      <c r="Y19" s="322"/>
      <c r="Z19" s="321"/>
      <c r="AA19" s="322"/>
      <c r="AB19" s="321"/>
      <c r="AC19" s="322"/>
      <c r="AD19" s="321"/>
      <c r="AE19" s="322"/>
      <c r="AF19" s="321"/>
      <c r="AG19" s="414"/>
      <c r="AH19" s="321"/>
      <c r="AI19" s="322"/>
      <c r="AJ19" s="323"/>
      <c r="AK19" s="322"/>
      <c r="AL19" s="321"/>
      <c r="AM19" s="322"/>
      <c r="AN19" s="321"/>
      <c r="AO19" s="322"/>
      <c r="AP19" s="322"/>
      <c r="AQ19" s="322"/>
      <c r="AR19" s="322"/>
      <c r="AS19" s="322"/>
      <c r="AT19" s="374"/>
      <c r="AU19" s="373"/>
      <c r="AV19" s="322"/>
      <c r="AW19" s="322"/>
      <c r="AX19" s="444"/>
      <c r="AY19" s="98">
        <v>3</v>
      </c>
      <c r="AZ19" s="521" t="s">
        <v>370</v>
      </c>
      <c r="BA19" s="98" t="s">
        <v>188</v>
      </c>
      <c r="BB19" s="98">
        <f>F10</f>
        <v>0</v>
      </c>
      <c r="BC19" s="98"/>
      <c r="BD19" s="98">
        <f>H10</f>
        <v>0</v>
      </c>
      <c r="BE19" s="98"/>
      <c r="BF19" s="98">
        <f>J10</f>
        <v>0</v>
      </c>
      <c r="BG19" s="98"/>
      <c r="BH19" s="98">
        <f>L10</f>
        <v>0</v>
      </c>
      <c r="BI19" s="98"/>
      <c r="BJ19" s="98">
        <f>N10</f>
        <v>0</v>
      </c>
      <c r="BK19" s="98"/>
      <c r="BL19" s="98">
        <f>P10</f>
        <v>0</v>
      </c>
      <c r="BM19" s="98"/>
      <c r="BN19" s="98">
        <f>R10</f>
        <v>0</v>
      </c>
      <c r="BO19" s="98"/>
      <c r="BP19" s="98">
        <f>T10</f>
        <v>0</v>
      </c>
      <c r="BQ19" s="98"/>
      <c r="BR19" s="98">
        <f>V10</f>
        <v>0</v>
      </c>
      <c r="BS19" s="98"/>
      <c r="BT19" s="98">
        <f>X10</f>
        <v>0</v>
      </c>
      <c r="BU19" s="98"/>
      <c r="BV19" s="98">
        <f>Z10</f>
        <v>0</v>
      </c>
      <c r="BW19" s="98"/>
      <c r="BX19" s="98">
        <f>AB10</f>
        <v>0</v>
      </c>
      <c r="BY19" s="98"/>
      <c r="BZ19" s="98">
        <f>AD10</f>
        <v>0</v>
      </c>
      <c r="CA19" s="98"/>
      <c r="CB19" s="98">
        <f>AF10</f>
        <v>0</v>
      </c>
      <c r="CC19" s="98"/>
      <c r="CD19" s="98">
        <f>AH10</f>
        <v>0</v>
      </c>
      <c r="CE19" s="258"/>
      <c r="CF19" s="98">
        <f>AJ10</f>
        <v>0</v>
      </c>
      <c r="CG19" s="98"/>
      <c r="CH19" s="98">
        <f>AL10</f>
        <v>0</v>
      </c>
      <c r="CI19" s="98"/>
      <c r="CJ19" s="98">
        <f>AN10</f>
        <v>0</v>
      </c>
      <c r="CK19" s="98"/>
      <c r="CL19" s="98">
        <f>AP10</f>
        <v>0</v>
      </c>
      <c r="CM19" s="258"/>
      <c r="CN19" s="98">
        <f>AR10</f>
        <v>0</v>
      </c>
      <c r="CO19" s="98"/>
      <c r="CP19" s="98">
        <f>AT10</f>
        <v>0</v>
      </c>
      <c r="CQ19" s="98"/>
      <c r="CR19" s="98">
        <f>AV10</f>
        <v>0</v>
      </c>
      <c r="CS19" s="98"/>
      <c r="CT19" s="98"/>
      <c r="CU19" s="98"/>
      <c r="CV19" s="98"/>
    </row>
    <row r="20" spans="1:111" ht="15.75" x14ac:dyDescent="0.25">
      <c r="C20" s="415"/>
      <c r="D20" s="539"/>
      <c r="E20" s="540"/>
      <c r="F20" s="424"/>
      <c r="G20" s="424"/>
      <c r="H20" s="354"/>
      <c r="I20" s="359"/>
      <c r="J20" s="359"/>
      <c r="K20" s="359"/>
      <c r="L20" s="359"/>
      <c r="M20" s="359"/>
      <c r="N20" s="359"/>
      <c r="O20" s="359"/>
      <c r="P20" s="427"/>
      <c r="Q20" s="359"/>
      <c r="R20" s="427"/>
      <c r="S20" s="359"/>
      <c r="T20" s="427"/>
      <c r="U20" s="359"/>
      <c r="V20" s="427"/>
      <c r="W20" s="359"/>
      <c r="X20" s="354"/>
      <c r="Y20" s="359"/>
      <c r="Z20" s="354"/>
      <c r="AA20" s="359"/>
      <c r="AB20" s="354"/>
      <c r="AC20" s="359"/>
      <c r="AD20" s="354"/>
      <c r="AE20" s="359"/>
      <c r="AF20" s="354"/>
      <c r="AG20" s="541"/>
      <c r="AH20" s="354"/>
      <c r="AI20" s="359"/>
      <c r="AJ20" s="427"/>
      <c r="AK20" s="359"/>
      <c r="AL20" s="354"/>
      <c r="AM20" s="359"/>
      <c r="AN20" s="354"/>
      <c r="AO20" s="359"/>
      <c r="AP20" s="359"/>
      <c r="AQ20" s="359"/>
      <c r="AR20" s="359"/>
      <c r="AS20" s="359"/>
      <c r="AV20" s="359"/>
      <c r="AW20" s="359"/>
      <c r="AY20" s="393"/>
      <c r="AZ20" s="522"/>
      <c r="BA20" s="98"/>
      <c r="BB20" s="98"/>
      <c r="BC20" s="258"/>
      <c r="BD20" s="79"/>
      <c r="BE20" s="258"/>
      <c r="BF20" s="79"/>
      <c r="BG20" s="258"/>
      <c r="BH20" s="79"/>
      <c r="BI20" s="258"/>
      <c r="BJ20" s="98"/>
      <c r="BK20" s="258"/>
      <c r="BL20" s="98"/>
      <c r="BM20" s="258"/>
      <c r="BN20" s="98"/>
      <c r="BO20" s="258"/>
      <c r="BP20" s="98"/>
      <c r="BQ20" s="258"/>
      <c r="BR20" s="98"/>
      <c r="BS20" s="258"/>
      <c r="BT20" s="98"/>
      <c r="BU20" s="258"/>
      <c r="BV20" s="79"/>
      <c r="BW20" s="258"/>
      <c r="BX20" s="98"/>
      <c r="BY20" s="258"/>
      <c r="BZ20" s="98"/>
      <c r="CA20" s="258"/>
      <c r="CB20" s="98"/>
      <c r="CC20" s="258"/>
      <c r="CD20" s="98"/>
      <c r="CE20" s="258"/>
      <c r="CF20" s="98"/>
      <c r="CG20" s="258"/>
      <c r="CH20" s="98"/>
      <c r="CI20" s="258"/>
      <c r="CJ20" s="98"/>
      <c r="CK20" s="258"/>
      <c r="CL20" s="98"/>
      <c r="CM20" s="258"/>
      <c r="CN20" s="98"/>
      <c r="CO20" s="258"/>
      <c r="CP20" s="98"/>
      <c r="CQ20" s="258"/>
      <c r="CR20" s="98"/>
      <c r="CS20" s="258"/>
      <c r="CT20" s="98"/>
      <c r="CU20" s="258"/>
      <c r="CV20" s="98"/>
    </row>
    <row r="21" spans="1:111" ht="18" customHeight="1" x14ac:dyDescent="0.2">
      <c r="C21" s="476" t="s">
        <v>515</v>
      </c>
      <c r="D21" s="831" t="s">
        <v>516</v>
      </c>
      <c r="E21" s="775"/>
      <c r="F21" s="775"/>
      <c r="G21" s="775"/>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775"/>
      <c r="AJ21" s="775"/>
      <c r="AK21" s="775"/>
      <c r="AL21" s="775"/>
      <c r="AM21" s="775"/>
      <c r="AN21" s="775"/>
      <c r="AO21" s="775"/>
      <c r="AP21" s="775"/>
      <c r="AQ21" s="775"/>
      <c r="AR21" s="775"/>
      <c r="AS21" s="775"/>
      <c r="AT21" s="775"/>
      <c r="AU21" s="775"/>
      <c r="AV21" s="775"/>
      <c r="AW21" s="776"/>
      <c r="AZ21" s="296" t="s">
        <v>430</v>
      </c>
      <c r="BA21" s="98"/>
      <c r="BB21" s="98" t="str">
        <f>IF(OR(ISBLANK(F10),ISBLANK(F9)),"N/A",IF(BB17&gt;=BB19,"ok","&lt;&gt;"))</f>
        <v>N/A</v>
      </c>
      <c r="BC21" s="98"/>
      <c r="BD21" s="98" t="str">
        <f>IF(OR(ISBLANK(H10),ISBLANK(H9)),"N/A",IF(BD17&gt;=BD19,"ok","&lt;&gt;"))</f>
        <v>N/A</v>
      </c>
      <c r="BE21" s="98"/>
      <c r="BF21" s="98" t="str">
        <f>IF(OR(ISBLANK(J10),ISBLANK(J9)),"N/A",IF(BF17&gt;=BF19,"ok","&lt;&gt;"))</f>
        <v>N/A</v>
      </c>
      <c r="BG21" s="98"/>
      <c r="BH21" s="98" t="str">
        <f>IF(OR(ISBLANK(L10),ISBLANK(L9)),"N/A",IF(BH17&gt;=BH19,"ok","&lt;&gt;"))</f>
        <v>N/A</v>
      </c>
      <c r="BI21" s="98"/>
      <c r="BJ21" s="98" t="str">
        <f>IF(OR(ISBLANK(N10),ISBLANK(N9)),"N/A",IF(BJ17&gt;=BJ19,"ok","&lt;&gt;"))</f>
        <v>N/A</v>
      </c>
      <c r="BK21" s="98"/>
      <c r="BL21" s="98" t="str">
        <f>IF(OR(ISBLANK(P10),ISBLANK(P9)),"N/A",IF(BL17&gt;=BL19,"ok","&lt;&gt;"))</f>
        <v>N/A</v>
      </c>
      <c r="BM21" s="98"/>
      <c r="BN21" s="98" t="str">
        <f>IF(OR(ISBLANK(R10),ISBLANK(R9)),"N/A",IF(BN17&gt;=BN19,"ok","&lt;&gt;"))</f>
        <v>N/A</v>
      </c>
      <c r="BO21" s="98"/>
      <c r="BP21" s="98" t="str">
        <f>IF(OR(ISBLANK(T10),ISBLANK(T9)),"N/A",IF(BP17&gt;=BP19,"ok","&lt;&gt;"))</f>
        <v>N/A</v>
      </c>
      <c r="BQ21" s="98"/>
      <c r="BR21" s="98" t="str">
        <f>IF(OR(ISBLANK(V10),ISBLANK(V9)),"N/A",IF(BR17&gt;=BR19,"ok","&lt;&gt;"))</f>
        <v>N/A</v>
      </c>
      <c r="BS21" s="98"/>
      <c r="BT21" s="98" t="str">
        <f>IF(OR(ISBLANK(X10),ISBLANK(X9)),"N/A",IF(BT17&gt;=BT19,"ok","&lt;&gt;"))</f>
        <v>N/A</v>
      </c>
      <c r="BU21" s="98"/>
      <c r="BV21" s="98" t="str">
        <f>IF(OR(ISBLANK(Z10),ISBLANK(Z9)),"N/A",IF(BV17&gt;=BV19,"ok","&lt;&gt;"))</f>
        <v>N/A</v>
      </c>
      <c r="BW21" s="98"/>
      <c r="BX21" s="98" t="str">
        <f>IF(OR(ISBLANK(AB10),ISBLANK(AB9)),"N/A",IF(BX17&gt;=BX19,"ok","&lt;&gt;"))</f>
        <v>N/A</v>
      </c>
      <c r="BY21" s="98"/>
      <c r="BZ21" s="98" t="str">
        <f>IF(OR(ISBLANK(AD10),ISBLANK(AD9)),"N/A",IF(BZ17&gt;=BZ19,"ok","&lt;&gt;"))</f>
        <v>N/A</v>
      </c>
      <c r="CA21" s="98"/>
      <c r="CB21" s="98" t="str">
        <f>IF(OR(ISBLANK(AF10),ISBLANK(AF9)),"N/A",IF(CB17&gt;=CB19,"ok","&lt;&gt;"))</f>
        <v>N/A</v>
      </c>
      <c r="CC21" s="98"/>
      <c r="CD21" s="98" t="str">
        <f>IF(OR(ISBLANK(AH10),ISBLANK(AH9)),"N/A",IF(CD17&gt;=CD19,"ok","&lt;&gt;"))</f>
        <v>N/A</v>
      </c>
      <c r="CE21" s="258"/>
      <c r="CF21" s="98" t="str">
        <f>IF(OR(ISBLANK(AJ10),ISBLANK(AJ9)),"N/A",IF(CF17&gt;=CF19,"ok","&lt;&gt;"))</f>
        <v>N/A</v>
      </c>
      <c r="CG21" s="98"/>
      <c r="CH21" s="98" t="str">
        <f>IF(OR(ISBLANK(AL10),ISBLANK(AL9)),"N/A",IF(CH17&gt;=CH19,"ok","&lt;&gt;"))</f>
        <v>N/A</v>
      </c>
      <c r="CI21" s="98"/>
      <c r="CJ21" s="98" t="str">
        <f>IF(OR(ISBLANK(AN10),ISBLANK(AN9)),"N/A",IF(CJ17&gt;=CJ19,"ok","&lt;&gt;"))</f>
        <v>N/A</v>
      </c>
      <c r="CK21" s="98"/>
      <c r="CL21" s="98" t="str">
        <f>IF(OR(ISBLANK(AP10),ISBLANK(AP9)),"N/A",IF(CL17&gt;=CL19,"ok","&lt;&gt;"))</f>
        <v>N/A</v>
      </c>
      <c r="CM21" s="258"/>
      <c r="CN21" s="98" t="str">
        <f>IF(OR(ISBLANK(AR10),ISBLANK(AR9)),"N/A",IF(CN17&gt;=CN19,"ok","&lt;&gt;"))</f>
        <v>N/A</v>
      </c>
      <c r="CO21" s="98"/>
      <c r="CP21" s="98" t="str">
        <f>IF(OR(ISBLANK(AT10),ISBLANK(AT9)),"N/A",IF(CP17&gt;=CP19,"ok","&lt;&gt;"))</f>
        <v>N/A</v>
      </c>
      <c r="CQ21" s="98"/>
      <c r="CR21" s="98" t="str">
        <f>IF(OR(ISBLANK(AV10),ISBLANK(AV9)),"N/A",IF(CR17&gt;=CR19,"ok","&lt;&gt;"))</f>
        <v>N/A</v>
      </c>
      <c r="CS21" s="98"/>
      <c r="CT21" s="98"/>
      <c r="CU21" s="98"/>
      <c r="CV21" s="98"/>
    </row>
    <row r="22" spans="1:111" ht="18" customHeight="1" x14ac:dyDescent="0.2">
      <c r="C22" s="548"/>
      <c r="D22" s="789"/>
      <c r="E22" s="790"/>
      <c r="F22" s="790"/>
      <c r="G22" s="790"/>
      <c r="H22" s="790"/>
      <c r="I22" s="790"/>
      <c r="J22" s="790"/>
      <c r="K22" s="790"/>
      <c r="L22" s="790"/>
      <c r="M22" s="790"/>
      <c r="N22" s="790"/>
      <c r="O22" s="790"/>
      <c r="P22" s="790"/>
      <c r="Q22" s="790"/>
      <c r="R22" s="790"/>
      <c r="S22" s="790"/>
      <c r="T22" s="790"/>
      <c r="U22" s="790"/>
      <c r="V22" s="790"/>
      <c r="W22" s="790"/>
      <c r="X22" s="790"/>
      <c r="Y22" s="790"/>
      <c r="Z22" s="790"/>
      <c r="AA22" s="790"/>
      <c r="AB22" s="790"/>
      <c r="AC22" s="790"/>
      <c r="AD22" s="790"/>
      <c r="AE22" s="790"/>
      <c r="AF22" s="790"/>
      <c r="AG22" s="790"/>
      <c r="AH22" s="790"/>
      <c r="AI22" s="790"/>
      <c r="AJ22" s="790"/>
      <c r="AK22" s="790"/>
      <c r="AL22" s="790"/>
      <c r="AM22" s="790"/>
      <c r="AN22" s="790"/>
      <c r="AO22" s="790"/>
      <c r="AP22" s="790"/>
      <c r="AQ22" s="790"/>
      <c r="AR22" s="790"/>
      <c r="AS22" s="790"/>
      <c r="AT22" s="790"/>
      <c r="AU22" s="790"/>
      <c r="AV22" s="790"/>
      <c r="AW22" s="791"/>
      <c r="AZ22" s="261" t="s">
        <v>447</v>
      </c>
      <c r="BA22" s="81" t="s">
        <v>188</v>
      </c>
      <c r="BB22" s="98">
        <f>F12</f>
        <v>0</v>
      </c>
      <c r="BC22" s="98"/>
      <c r="BD22" s="98">
        <f>H12</f>
        <v>0</v>
      </c>
      <c r="BE22" s="98"/>
      <c r="BF22" s="98">
        <f>J12</f>
        <v>0</v>
      </c>
      <c r="BG22" s="98"/>
      <c r="BH22" s="98">
        <f>L12</f>
        <v>0</v>
      </c>
      <c r="BI22" s="98"/>
      <c r="BJ22" s="98">
        <f>N12</f>
        <v>0</v>
      </c>
      <c r="BK22" s="98"/>
      <c r="BL22" s="98">
        <f>P12</f>
        <v>0</v>
      </c>
      <c r="BM22" s="98"/>
      <c r="BN22" s="98">
        <f>R12</f>
        <v>0</v>
      </c>
      <c r="BO22" s="98"/>
      <c r="BP22" s="98">
        <f>T12</f>
        <v>0</v>
      </c>
      <c r="BQ22" s="98"/>
      <c r="BR22" s="98">
        <f>V12</f>
        <v>0</v>
      </c>
      <c r="BS22" s="98"/>
      <c r="BT22" s="98">
        <f>X12</f>
        <v>0</v>
      </c>
      <c r="BU22" s="98"/>
      <c r="BV22" s="98">
        <f>Z12</f>
        <v>0</v>
      </c>
      <c r="BW22" s="98"/>
      <c r="BX22" s="98">
        <f>AB12</f>
        <v>0</v>
      </c>
      <c r="BY22" s="98"/>
      <c r="BZ22" s="98">
        <f>AD12</f>
        <v>0</v>
      </c>
      <c r="CA22" s="98"/>
      <c r="CB22" s="98">
        <f>AF12</f>
        <v>0</v>
      </c>
      <c r="CC22" s="98"/>
      <c r="CD22" s="98">
        <f>AH12</f>
        <v>0</v>
      </c>
      <c r="CE22" s="258"/>
      <c r="CF22" s="98">
        <f>AJ12</f>
        <v>0</v>
      </c>
      <c r="CG22" s="98"/>
      <c r="CH22" s="98">
        <f>AL12</f>
        <v>0</v>
      </c>
      <c r="CI22" s="98"/>
      <c r="CJ22" s="98">
        <f>AN12</f>
        <v>0</v>
      </c>
      <c r="CK22" s="98"/>
      <c r="CL22" s="98">
        <f>AP12</f>
        <v>0</v>
      </c>
      <c r="CM22" s="258"/>
      <c r="CN22" s="98">
        <f>AR12</f>
        <v>0</v>
      </c>
      <c r="CO22" s="98"/>
      <c r="CP22" s="98">
        <f>AT12</f>
        <v>0</v>
      </c>
      <c r="CQ22" s="98"/>
      <c r="CR22" s="98">
        <f>AV12</f>
        <v>0</v>
      </c>
      <c r="CS22" s="98"/>
      <c r="CT22" s="98"/>
      <c r="CU22" s="98"/>
      <c r="CV22" s="98"/>
    </row>
    <row r="23" spans="1:111" ht="18" customHeight="1" x14ac:dyDescent="0.2">
      <c r="C23" s="558"/>
      <c r="D23" s="792"/>
      <c r="E23" s="793"/>
      <c r="F23" s="793"/>
      <c r="G23" s="793"/>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93"/>
      <c r="AF23" s="793"/>
      <c r="AG23" s="793"/>
      <c r="AH23" s="793"/>
      <c r="AI23" s="793"/>
      <c r="AJ23" s="793"/>
      <c r="AK23" s="793"/>
      <c r="AL23" s="793"/>
      <c r="AM23" s="793"/>
      <c r="AN23" s="793"/>
      <c r="AO23" s="793"/>
      <c r="AP23" s="793"/>
      <c r="AQ23" s="793"/>
      <c r="AR23" s="793"/>
      <c r="AS23" s="793"/>
      <c r="AT23" s="793"/>
      <c r="AU23" s="793"/>
      <c r="AV23" s="793"/>
      <c r="AW23" s="794"/>
      <c r="AZ23" s="330" t="s">
        <v>412</v>
      </c>
      <c r="BA23" s="96"/>
      <c r="BB23" s="96" t="str">
        <f>IF(OR(ISBLANK(F12),ISBLANK(F9),ISBLANK(F11)),"N/A",IF(BB22=100-F11-F9,"ok","&lt;&gt;"))</f>
        <v>N/A</v>
      </c>
      <c r="BC23" s="96"/>
      <c r="BD23" s="96" t="str">
        <f>IF(OR(ISBLANK(H12),ISBLANK(H9),ISBLANK(H11)),"N/A",IF(BD22=100-H11-H9,"ok","&lt;&gt;"))</f>
        <v>N/A</v>
      </c>
      <c r="BE23" s="96"/>
      <c r="BF23" s="96" t="str">
        <f>IF(OR(ISBLANK(J12),ISBLANK(J9),ISBLANK(J11)),"N/A",IF(BF22=100-J11-J9,"ok","&lt;&gt;"))</f>
        <v>N/A</v>
      </c>
      <c r="BG23" s="96"/>
      <c r="BH23" s="96" t="str">
        <f>IF(OR(ISBLANK(L12),ISBLANK(L9),ISBLANK(L11)),"N/A",IF(BH22=100-L11-L9,"ok","&lt;&gt;"))</f>
        <v>N/A</v>
      </c>
      <c r="BI23" s="96"/>
      <c r="BJ23" s="96" t="str">
        <f>IF(OR(ISBLANK(N12),ISBLANK(N9),ISBLANK(N11)),"N/A",IF(BJ22=100-N11-N9,"ok","&lt;&gt;"))</f>
        <v>N/A</v>
      </c>
      <c r="BK23" s="96"/>
      <c r="BL23" s="96" t="str">
        <f>IF(OR(ISBLANK(P12),ISBLANK(P9),ISBLANK(P11)),"N/A",IF(BL22=100-P11-P9,"ok","&lt;&gt;"))</f>
        <v>N/A</v>
      </c>
      <c r="BM23" s="96"/>
      <c r="BN23" s="96" t="str">
        <f>IF(OR(ISBLANK(R12),ISBLANK(R9),ISBLANK(R11)),"N/A",IF(BN22=100-R11-R9,"ok","&lt;&gt;"))</f>
        <v>N/A</v>
      </c>
      <c r="BO23" s="96"/>
      <c r="BP23" s="96" t="str">
        <f>IF(OR(ISBLANK(T12),ISBLANK(T9),ISBLANK(T11)),"N/A",IF(BP22=100-T11-T9,"ok","&lt;&gt;"))</f>
        <v>N/A</v>
      </c>
      <c r="BQ23" s="96"/>
      <c r="BR23" s="96" t="str">
        <f>IF(OR(ISBLANK(V12),ISBLANK(V9),ISBLANK(V11)),"N/A",IF(BR22=100-V11-V9,"ok","&lt;&gt;"))</f>
        <v>N/A</v>
      </c>
      <c r="BS23" s="96"/>
      <c r="BT23" s="96" t="str">
        <f>IF(OR(ISBLANK(X12),ISBLANK(X9),ISBLANK(X11)),"N/A",IF(BT22=100-X11-X9,"ok","&lt;&gt;"))</f>
        <v>N/A</v>
      </c>
      <c r="BU23" s="96"/>
      <c r="BV23" s="96" t="str">
        <f>IF(OR(ISBLANK(Z12),ISBLANK(Z9),ISBLANK(Z11)),"N/A",IF(BV22=100-Z11-Z9,"ok","&lt;&gt;"))</f>
        <v>N/A</v>
      </c>
      <c r="BW23" s="96"/>
      <c r="BX23" s="96" t="str">
        <f>IF(OR(ISBLANK(AB12),ISBLANK(AB9),ISBLANK(AB11)),"N/A",IF(BX22=100-AB11-AB9,"ok","&lt;&gt;"))</f>
        <v>N/A</v>
      </c>
      <c r="BY23" s="96"/>
      <c r="BZ23" s="96" t="str">
        <f>IF(OR(ISBLANK(AD12),ISBLANK(AD9),ISBLANK(AD11)),"N/A",IF(BZ22=100-AD11-AD9,"ok","&lt;&gt;"))</f>
        <v>N/A</v>
      </c>
      <c r="CA23" s="96"/>
      <c r="CB23" s="96" t="str">
        <f>IF(OR(ISBLANK(AF12),ISBLANK(AF9),ISBLANK(AF11)),"N/A",IF(CB22=100-AF11-AF9,"ok","&lt;&gt;"))</f>
        <v>N/A</v>
      </c>
      <c r="CC23" s="96"/>
      <c r="CD23" s="96" t="str">
        <f>IF(OR(ISBLANK(AH12),ISBLANK(AH9),ISBLANK(AH11)),"N/A",IF(CD22=100-AH11-AH9,"ok","&lt;&gt;"))</f>
        <v>N/A</v>
      </c>
      <c r="CE23" s="96"/>
      <c r="CF23" s="96" t="str">
        <f>IF(OR(ISBLANK(AJ12),ISBLANK(AJ9),ISBLANK(AJ11)),"N/A",IF(CF22=100-AJ11-AJ9,"ok","&lt;&gt;"))</f>
        <v>N/A</v>
      </c>
      <c r="CG23" s="96"/>
      <c r="CH23" s="96" t="str">
        <f>IF(OR(ISBLANK(AL12),ISBLANK(AL9),ISBLANK(AL11)),"N/A",IF(CH22=100-AL11-AL9,"ok","&lt;&gt;"))</f>
        <v>N/A</v>
      </c>
      <c r="CI23" s="96"/>
      <c r="CJ23" s="96" t="str">
        <f>IF(OR(ISBLANK(AN12),ISBLANK(AN9),ISBLANK(AN11)),"N/A",IF(CJ22=100-AN11-AN9,"ok","&lt;&gt;"))</f>
        <v>N/A</v>
      </c>
      <c r="CK23" s="96"/>
      <c r="CL23" s="96" t="str">
        <f>IF(OR(ISBLANK(AP12),ISBLANK(AP9),ISBLANK(AP11)),"N/A",IF(CL22=100-AP11-AP9,"ok","&lt;&gt;"))</f>
        <v>N/A</v>
      </c>
      <c r="CM23" s="96"/>
      <c r="CN23" s="96" t="str">
        <f>IF(OR(ISBLANK(AR12),ISBLANK(AR9),ISBLANK(AR11)),"N/A",IF(CN22=100-AR11-AR9,"ok","&lt;&gt;"))</f>
        <v>N/A</v>
      </c>
      <c r="CO23" s="96"/>
      <c r="CP23" s="96" t="str">
        <f>IF(OR(ISBLANK(AT12),ISBLANK(AT9),ISBLANK(AT11)),"N/A",IF(CP22=100-AT11-AT9,"ok","&lt;&gt;"))</f>
        <v>N/A</v>
      </c>
      <c r="CQ23" s="96"/>
      <c r="CR23" s="96" t="str">
        <f>IF(OR(ISBLANK(AV12),ISBLANK(AV9),ISBLANK(AV11)),"N/A",IF(CR22=100-AV11-AV9,"ok","&lt;&gt;"))</f>
        <v>N/A</v>
      </c>
      <c r="CS23" s="96"/>
      <c r="CT23" s="96"/>
      <c r="CU23" s="96"/>
      <c r="CV23" s="96"/>
    </row>
    <row r="24" spans="1:111" ht="18" customHeight="1" x14ac:dyDescent="0.2">
      <c r="C24" s="552"/>
      <c r="D24" s="792"/>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4"/>
      <c r="AZ24" s="332" t="s">
        <v>439</v>
      </c>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row>
    <row r="25" spans="1:111" ht="18" customHeight="1" x14ac:dyDescent="0.2">
      <c r="C25" s="552"/>
      <c r="D25" s="792"/>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4"/>
      <c r="AZ25" s="332" t="s">
        <v>441</v>
      </c>
      <c r="BA25" s="439"/>
      <c r="BB25" s="439"/>
      <c r="BC25" s="439"/>
      <c r="BD25" s="439"/>
      <c r="BE25" s="439"/>
      <c r="BF25" s="439"/>
      <c r="BG25" s="439"/>
      <c r="BH25" s="439"/>
      <c r="BI25" s="439"/>
      <c r="BJ25" s="439"/>
      <c r="BK25" s="439"/>
      <c r="BL25" s="439"/>
      <c r="BM25" s="439"/>
      <c r="BN25" s="439"/>
      <c r="BO25" s="439"/>
      <c r="BP25" s="439"/>
      <c r="BQ25" s="439"/>
      <c r="BR25" s="439"/>
      <c r="BS25" s="439"/>
      <c r="BT25" s="439"/>
      <c r="BU25" s="439"/>
      <c r="BV25" s="439"/>
      <c r="BW25" s="439"/>
      <c r="BX25" s="439"/>
      <c r="BY25" s="439"/>
      <c r="BZ25" s="439"/>
      <c r="CA25" s="439"/>
      <c r="CB25" s="439"/>
      <c r="CC25" s="439"/>
      <c r="CD25" s="439"/>
      <c r="CE25" s="439"/>
      <c r="CF25" s="439"/>
      <c r="CG25" s="439"/>
      <c r="CH25" s="439"/>
      <c r="CI25" s="439"/>
      <c r="CJ25" s="439"/>
      <c r="CK25" s="439"/>
      <c r="CL25" s="439"/>
      <c r="CM25" s="439"/>
      <c r="CN25" s="439"/>
      <c r="CO25" s="439"/>
      <c r="CP25" s="439"/>
      <c r="CQ25" s="439"/>
      <c r="CR25" s="439"/>
      <c r="CS25" s="439"/>
      <c r="CT25" s="439"/>
      <c r="CU25" s="439"/>
      <c r="CV25" s="439"/>
    </row>
    <row r="26" spans="1:111" ht="18" customHeight="1" x14ac:dyDescent="0.2">
      <c r="C26" s="552"/>
      <c r="D26" s="792"/>
      <c r="E26" s="793"/>
      <c r="F26" s="793"/>
      <c r="G26" s="793"/>
      <c r="H26" s="793"/>
      <c r="I26" s="793"/>
      <c r="J26" s="793"/>
      <c r="K26" s="793"/>
      <c r="L26" s="793"/>
      <c r="M26" s="793"/>
      <c r="N26" s="793"/>
      <c r="O26" s="793"/>
      <c r="P26" s="793"/>
      <c r="Q26" s="793"/>
      <c r="R26" s="793"/>
      <c r="S26" s="793"/>
      <c r="T26" s="793"/>
      <c r="U26" s="793"/>
      <c r="V26" s="793"/>
      <c r="W26" s="793"/>
      <c r="X26" s="793"/>
      <c r="Y26" s="793"/>
      <c r="Z26" s="793"/>
      <c r="AA26" s="793"/>
      <c r="AB26" s="793"/>
      <c r="AC26" s="793"/>
      <c r="AD26" s="793"/>
      <c r="AE26" s="793"/>
      <c r="AF26" s="793"/>
      <c r="AG26" s="793"/>
      <c r="AH26" s="793"/>
      <c r="AI26" s="793"/>
      <c r="AJ26" s="793"/>
      <c r="AK26" s="793"/>
      <c r="AL26" s="793"/>
      <c r="AM26" s="793"/>
      <c r="AN26" s="793"/>
      <c r="AO26" s="793"/>
      <c r="AP26" s="793"/>
      <c r="AQ26" s="793"/>
      <c r="AR26" s="793"/>
      <c r="AS26" s="793"/>
      <c r="AT26" s="793"/>
      <c r="AU26" s="793"/>
      <c r="AV26" s="793"/>
      <c r="AW26" s="794"/>
      <c r="AZ26" s="332" t="s">
        <v>445</v>
      </c>
      <c r="BA26" s="439"/>
      <c r="BB26" s="439"/>
      <c r="BC26" s="439"/>
      <c r="BD26" s="439"/>
      <c r="BE26" s="439"/>
      <c r="BF26" s="439"/>
      <c r="BG26" s="439"/>
      <c r="BH26" s="439"/>
      <c r="BI26" s="439"/>
      <c r="BJ26" s="439"/>
      <c r="BK26" s="439"/>
      <c r="BL26" s="439"/>
      <c r="BM26" s="439"/>
      <c r="BN26" s="439"/>
      <c r="BO26" s="439"/>
      <c r="BP26" s="439"/>
      <c r="BQ26" s="439"/>
      <c r="BR26" s="439"/>
      <c r="BS26" s="439"/>
      <c r="BT26" s="439"/>
      <c r="BU26" s="439"/>
      <c r="BV26" s="439"/>
      <c r="BW26" s="439"/>
      <c r="BX26" s="439"/>
      <c r="BY26" s="439"/>
      <c r="BZ26" s="439"/>
      <c r="CA26" s="439"/>
      <c r="CB26" s="439"/>
      <c r="CC26" s="439"/>
      <c r="CD26" s="439"/>
      <c r="CE26" s="439"/>
      <c r="CF26" s="439"/>
      <c r="CG26" s="439"/>
      <c r="CH26" s="439"/>
      <c r="CI26" s="439"/>
      <c r="CJ26" s="439"/>
      <c r="CK26" s="439"/>
      <c r="CL26" s="439"/>
      <c r="CM26" s="439"/>
      <c r="CN26" s="439"/>
      <c r="CO26" s="439"/>
      <c r="CP26" s="439"/>
      <c r="CQ26" s="439"/>
      <c r="CR26" s="439"/>
      <c r="CS26" s="439"/>
      <c r="CT26" s="439"/>
      <c r="CU26" s="439"/>
      <c r="CV26" s="439"/>
    </row>
    <row r="27" spans="1:111" ht="18" customHeight="1" x14ac:dyDescent="0.2">
      <c r="C27" s="552"/>
      <c r="D27" s="792"/>
      <c r="E27" s="793"/>
      <c r="F27" s="793"/>
      <c r="G27" s="793"/>
      <c r="H27" s="793"/>
      <c r="I27" s="793"/>
      <c r="J27" s="793"/>
      <c r="K27" s="793"/>
      <c r="L27" s="793"/>
      <c r="M27" s="793"/>
      <c r="N27" s="793"/>
      <c r="O27" s="793"/>
      <c r="P27" s="793"/>
      <c r="Q27" s="793"/>
      <c r="R27" s="793"/>
      <c r="S27" s="793"/>
      <c r="T27" s="793"/>
      <c r="U27" s="793"/>
      <c r="V27" s="793"/>
      <c r="W27" s="793"/>
      <c r="X27" s="793"/>
      <c r="Y27" s="793"/>
      <c r="Z27" s="793"/>
      <c r="AA27" s="793"/>
      <c r="AB27" s="793"/>
      <c r="AC27" s="793"/>
      <c r="AD27" s="793"/>
      <c r="AE27" s="793"/>
      <c r="AF27" s="793"/>
      <c r="AG27" s="793"/>
      <c r="AH27" s="793"/>
      <c r="AI27" s="793"/>
      <c r="AJ27" s="793"/>
      <c r="AK27" s="793"/>
      <c r="AL27" s="793"/>
      <c r="AM27" s="793"/>
      <c r="AN27" s="793"/>
      <c r="AO27" s="793"/>
      <c r="AP27" s="793"/>
      <c r="AQ27" s="793"/>
      <c r="AR27" s="793"/>
      <c r="AS27" s="793"/>
      <c r="AT27" s="793"/>
      <c r="AU27" s="793"/>
      <c r="AV27" s="793"/>
      <c r="AW27" s="794"/>
      <c r="AZ27" s="332" t="s">
        <v>379</v>
      </c>
      <c r="BA27" s="97"/>
      <c r="BB27" s="97"/>
      <c r="BC27" s="97"/>
      <c r="BD27" s="111"/>
      <c r="BE27" s="111"/>
      <c r="BF27" s="111"/>
      <c r="BG27" s="111"/>
      <c r="BH27" s="111"/>
      <c r="BI27" s="111"/>
      <c r="BJ27" s="111"/>
      <c r="BK27" s="111"/>
      <c r="BL27" s="111"/>
      <c r="BM27" s="111"/>
      <c r="BN27" s="111"/>
      <c r="BO27" s="111"/>
      <c r="BP27" s="111"/>
      <c r="BQ27" s="111"/>
      <c r="BR27" s="97"/>
      <c r="BS27" s="97"/>
      <c r="BT27" s="97"/>
      <c r="BU27" s="97"/>
      <c r="BV27" s="97"/>
      <c r="BW27" s="97"/>
      <c r="BX27" s="97"/>
      <c r="BY27" s="97"/>
      <c r="BZ27" s="97"/>
      <c r="CA27" s="97"/>
      <c r="CB27" s="97"/>
      <c r="CC27" s="97"/>
      <c r="CD27" s="111"/>
      <c r="CE27" s="111"/>
      <c r="CF27" s="97"/>
      <c r="CG27" s="97"/>
      <c r="CH27" s="97"/>
      <c r="CI27" s="97"/>
      <c r="CJ27" s="97"/>
      <c r="CK27" s="97"/>
      <c r="CL27" s="97"/>
      <c r="CM27" s="97"/>
      <c r="CN27" s="97"/>
      <c r="CO27" s="97"/>
      <c r="CP27" s="97"/>
      <c r="CQ27" s="97"/>
      <c r="CR27" s="97"/>
      <c r="CS27" s="97"/>
      <c r="CT27" s="97"/>
      <c r="CU27" s="97"/>
      <c r="CV27" s="97"/>
    </row>
    <row r="28" spans="1:111" ht="18" customHeight="1" x14ac:dyDescent="0.2">
      <c r="C28" s="552"/>
      <c r="D28" s="792"/>
      <c r="E28" s="793"/>
      <c r="F28" s="793"/>
      <c r="G28" s="793"/>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4"/>
      <c r="BA28" s="97"/>
      <c r="BB28" s="97"/>
      <c r="BC28" s="97"/>
      <c r="BD28" s="111"/>
      <c r="BE28" s="111"/>
      <c r="BF28" s="111"/>
      <c r="BG28" s="111"/>
      <c r="BH28" s="111"/>
      <c r="BI28" s="111"/>
      <c r="BJ28" s="111"/>
      <c r="BK28" s="111"/>
      <c r="BL28" s="111"/>
      <c r="BM28" s="111"/>
      <c r="BN28" s="111"/>
      <c r="BO28" s="111"/>
      <c r="BP28" s="111"/>
      <c r="BQ28" s="111"/>
      <c r="BR28" s="97"/>
      <c r="BS28" s="97"/>
      <c r="BT28" s="97"/>
      <c r="BU28" s="97"/>
      <c r="BV28" s="97"/>
      <c r="BW28" s="97"/>
      <c r="BX28" s="97"/>
      <c r="BY28" s="97"/>
      <c r="BZ28" s="97"/>
      <c r="CA28" s="97"/>
      <c r="CB28" s="97"/>
      <c r="CC28" s="97"/>
      <c r="CD28" s="111"/>
      <c r="CE28" s="111"/>
      <c r="CF28" s="97"/>
      <c r="CG28" s="97"/>
      <c r="CH28" s="97"/>
      <c r="CI28" s="97"/>
      <c r="CJ28" s="97"/>
      <c r="CK28" s="97"/>
      <c r="CL28" s="97"/>
      <c r="CM28" s="97"/>
      <c r="CN28" s="97"/>
      <c r="CO28" s="97"/>
      <c r="CP28" s="97"/>
      <c r="CQ28" s="97"/>
      <c r="CR28" s="97"/>
      <c r="CS28" s="97"/>
      <c r="CT28" s="97"/>
      <c r="CU28" s="97"/>
      <c r="CV28" s="97"/>
    </row>
    <row r="29" spans="1:111" ht="18" customHeight="1" x14ac:dyDescent="0.2">
      <c r="C29" s="552"/>
      <c r="D29" s="792"/>
      <c r="E29" s="793"/>
      <c r="F29" s="793"/>
      <c r="G29" s="793"/>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4"/>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439"/>
      <c r="CN29" s="439"/>
      <c r="CO29" s="439"/>
      <c r="CP29" s="439"/>
      <c r="CQ29" s="439"/>
      <c r="CR29" s="439"/>
      <c r="CS29" s="439"/>
      <c r="CT29" s="439"/>
      <c r="CU29" s="439"/>
      <c r="CV29" s="439"/>
    </row>
    <row r="30" spans="1:111" ht="18" customHeight="1" x14ac:dyDescent="0.2">
      <c r="C30" s="552"/>
      <c r="D30" s="792"/>
      <c r="E30" s="793"/>
      <c r="F30" s="793"/>
      <c r="G30" s="793"/>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3"/>
      <c r="AF30" s="793"/>
      <c r="AG30" s="793"/>
      <c r="AH30" s="793"/>
      <c r="AI30" s="793"/>
      <c r="AJ30" s="793"/>
      <c r="AK30" s="793"/>
      <c r="AL30" s="793"/>
      <c r="AM30" s="793"/>
      <c r="AN30" s="793"/>
      <c r="AO30" s="793"/>
      <c r="AP30" s="793"/>
      <c r="AQ30" s="793"/>
      <c r="AR30" s="793"/>
      <c r="AS30" s="793"/>
      <c r="AT30" s="793"/>
      <c r="AU30" s="793"/>
      <c r="AV30" s="793"/>
      <c r="AW30" s="794"/>
      <c r="BA30" s="439"/>
      <c r="BB30" s="439"/>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439"/>
      <c r="CO30" s="439"/>
      <c r="CP30" s="439"/>
      <c r="CQ30" s="439"/>
      <c r="CR30" s="439"/>
      <c r="CS30" s="439"/>
      <c r="CT30" s="439"/>
      <c r="CU30" s="439"/>
      <c r="CV30" s="439"/>
    </row>
    <row r="31" spans="1:111" ht="18" customHeight="1" x14ac:dyDescent="0.2">
      <c r="C31" s="552"/>
      <c r="D31" s="792"/>
      <c r="E31" s="793"/>
      <c r="F31" s="793"/>
      <c r="G31" s="793"/>
      <c r="H31" s="793"/>
      <c r="I31" s="793"/>
      <c r="J31" s="793"/>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3"/>
      <c r="AM31" s="793"/>
      <c r="AN31" s="793"/>
      <c r="AO31" s="793"/>
      <c r="AP31" s="793"/>
      <c r="AQ31" s="793"/>
      <c r="AR31" s="793"/>
      <c r="AS31" s="793"/>
      <c r="AT31" s="793"/>
      <c r="AU31" s="793"/>
      <c r="AV31" s="793"/>
      <c r="AW31" s="794"/>
      <c r="AZ31" s="334"/>
    </row>
    <row r="32" spans="1:111" ht="18" customHeight="1" x14ac:dyDescent="0.2">
      <c r="C32" s="552"/>
      <c r="D32" s="792"/>
      <c r="E32" s="793"/>
      <c r="F32" s="793"/>
      <c r="G32" s="793"/>
      <c r="H32" s="793"/>
      <c r="I32" s="793"/>
      <c r="J32" s="793"/>
      <c r="K32" s="793"/>
      <c r="L32" s="793"/>
      <c r="M32" s="793"/>
      <c r="N32" s="793"/>
      <c r="O32" s="793"/>
      <c r="P32" s="793"/>
      <c r="Q32" s="793"/>
      <c r="R32" s="793"/>
      <c r="S32" s="793"/>
      <c r="T32" s="793"/>
      <c r="U32" s="793"/>
      <c r="V32" s="793"/>
      <c r="W32" s="793"/>
      <c r="X32" s="793"/>
      <c r="Y32" s="793"/>
      <c r="Z32" s="793"/>
      <c r="AA32" s="793"/>
      <c r="AB32" s="793"/>
      <c r="AC32" s="793"/>
      <c r="AD32" s="793"/>
      <c r="AE32" s="793"/>
      <c r="AF32" s="793"/>
      <c r="AG32" s="793"/>
      <c r="AH32" s="793"/>
      <c r="AI32" s="793"/>
      <c r="AJ32" s="793"/>
      <c r="AK32" s="793"/>
      <c r="AL32" s="793"/>
      <c r="AM32" s="793"/>
      <c r="AN32" s="793"/>
      <c r="AO32" s="793"/>
      <c r="AP32" s="793"/>
      <c r="AQ32" s="793"/>
      <c r="AR32" s="793"/>
      <c r="AS32" s="793"/>
      <c r="AT32" s="793"/>
      <c r="AU32" s="793"/>
      <c r="AV32" s="793"/>
      <c r="AW32" s="794"/>
    </row>
    <row r="33" spans="1:100" ht="18" customHeight="1" x14ac:dyDescent="0.2">
      <c r="C33" s="552"/>
      <c r="D33" s="792"/>
      <c r="E33" s="793"/>
      <c r="F33" s="793"/>
      <c r="G33" s="793"/>
      <c r="H33" s="793"/>
      <c r="I33" s="793"/>
      <c r="J33" s="793"/>
      <c r="K33" s="793"/>
      <c r="L33" s="793"/>
      <c r="M33" s="793"/>
      <c r="N33" s="793"/>
      <c r="O33" s="793"/>
      <c r="P33" s="793"/>
      <c r="Q33" s="793"/>
      <c r="R33" s="793"/>
      <c r="S33" s="793"/>
      <c r="T33" s="793"/>
      <c r="U33" s="793"/>
      <c r="V33" s="793"/>
      <c r="W33" s="793"/>
      <c r="X33" s="793"/>
      <c r="Y33" s="793"/>
      <c r="Z33" s="793"/>
      <c r="AA33" s="793"/>
      <c r="AB33" s="793"/>
      <c r="AC33" s="793"/>
      <c r="AD33" s="793"/>
      <c r="AE33" s="793"/>
      <c r="AF33" s="793"/>
      <c r="AG33" s="793"/>
      <c r="AH33" s="793"/>
      <c r="AI33" s="793"/>
      <c r="AJ33" s="793"/>
      <c r="AK33" s="793"/>
      <c r="AL33" s="793"/>
      <c r="AM33" s="793"/>
      <c r="AN33" s="793"/>
      <c r="AO33" s="793"/>
      <c r="AP33" s="793"/>
      <c r="AQ33" s="793"/>
      <c r="AR33" s="793"/>
      <c r="AS33" s="793"/>
      <c r="AT33" s="793"/>
      <c r="AU33" s="793"/>
      <c r="AV33" s="793"/>
      <c r="AW33" s="794"/>
    </row>
    <row r="34" spans="1:100" ht="18" customHeight="1" x14ac:dyDescent="0.2">
      <c r="C34" s="552"/>
      <c r="D34" s="792"/>
      <c r="E34" s="793"/>
      <c r="F34" s="793"/>
      <c r="G34" s="793"/>
      <c r="H34" s="793"/>
      <c r="I34" s="793"/>
      <c r="J34" s="793"/>
      <c r="K34" s="793"/>
      <c r="L34" s="793"/>
      <c r="M34" s="793"/>
      <c r="N34" s="793"/>
      <c r="O34" s="793"/>
      <c r="P34" s="793"/>
      <c r="Q34" s="793"/>
      <c r="R34" s="793"/>
      <c r="S34" s="793"/>
      <c r="T34" s="793"/>
      <c r="U34" s="793"/>
      <c r="V34" s="793"/>
      <c r="W34" s="793"/>
      <c r="X34" s="793"/>
      <c r="Y34" s="793"/>
      <c r="Z34" s="793"/>
      <c r="AA34" s="793"/>
      <c r="AB34" s="793"/>
      <c r="AC34" s="793"/>
      <c r="AD34" s="793"/>
      <c r="AE34" s="793"/>
      <c r="AF34" s="793"/>
      <c r="AG34" s="793"/>
      <c r="AH34" s="793"/>
      <c r="AI34" s="793"/>
      <c r="AJ34" s="793"/>
      <c r="AK34" s="793"/>
      <c r="AL34" s="793"/>
      <c r="AM34" s="793"/>
      <c r="AN34" s="793"/>
      <c r="AO34" s="793"/>
      <c r="AP34" s="793"/>
      <c r="AQ34" s="793"/>
      <c r="AR34" s="793"/>
      <c r="AS34" s="793"/>
      <c r="AT34" s="793"/>
      <c r="AU34" s="793"/>
      <c r="AV34" s="793"/>
      <c r="AW34" s="794"/>
    </row>
    <row r="35" spans="1:100" ht="18" customHeight="1" x14ac:dyDescent="0.2">
      <c r="C35" s="552"/>
      <c r="D35" s="792"/>
      <c r="E35" s="793"/>
      <c r="F35" s="793"/>
      <c r="G35" s="793"/>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4"/>
    </row>
    <row r="36" spans="1:100" ht="18" customHeight="1" x14ac:dyDescent="0.2">
      <c r="C36" s="552"/>
      <c r="D36" s="792"/>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4"/>
    </row>
    <row r="37" spans="1:100" ht="18" customHeight="1" x14ac:dyDescent="0.2">
      <c r="C37" s="552"/>
      <c r="D37" s="792"/>
      <c r="E37" s="793"/>
      <c r="F37" s="793"/>
      <c r="G37" s="793"/>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3"/>
      <c r="AT37" s="793"/>
      <c r="AU37" s="793"/>
      <c r="AV37" s="793"/>
      <c r="AW37" s="794"/>
    </row>
    <row r="38" spans="1:100" ht="18" customHeight="1" x14ac:dyDescent="0.2">
      <c r="C38" s="552"/>
      <c r="D38" s="792"/>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4"/>
    </row>
    <row r="39" spans="1:100" ht="18" customHeight="1" x14ac:dyDescent="0.2">
      <c r="C39" s="552"/>
      <c r="D39" s="792"/>
      <c r="E39" s="793"/>
      <c r="F39" s="793"/>
      <c r="G39" s="793"/>
      <c r="H39" s="793"/>
      <c r="I39" s="793"/>
      <c r="J39" s="793"/>
      <c r="K39" s="793"/>
      <c r="L39" s="793"/>
      <c r="M39" s="793"/>
      <c r="N39" s="793"/>
      <c r="O39" s="793"/>
      <c r="P39" s="793"/>
      <c r="Q39" s="793"/>
      <c r="R39" s="793"/>
      <c r="S39" s="793"/>
      <c r="T39" s="793"/>
      <c r="U39" s="793"/>
      <c r="V39" s="793"/>
      <c r="W39" s="793"/>
      <c r="X39" s="793"/>
      <c r="Y39" s="793"/>
      <c r="Z39" s="793"/>
      <c r="AA39" s="793"/>
      <c r="AB39" s="793"/>
      <c r="AC39" s="793"/>
      <c r="AD39" s="793"/>
      <c r="AE39" s="793"/>
      <c r="AF39" s="793"/>
      <c r="AG39" s="793"/>
      <c r="AH39" s="793"/>
      <c r="AI39" s="793"/>
      <c r="AJ39" s="793"/>
      <c r="AK39" s="793"/>
      <c r="AL39" s="793"/>
      <c r="AM39" s="793"/>
      <c r="AN39" s="793"/>
      <c r="AO39" s="793"/>
      <c r="AP39" s="793"/>
      <c r="AQ39" s="793"/>
      <c r="AR39" s="793"/>
      <c r="AS39" s="793"/>
      <c r="AT39" s="793"/>
      <c r="AU39" s="793"/>
      <c r="AV39" s="793"/>
      <c r="AW39" s="794"/>
    </row>
    <row r="40" spans="1:100" ht="18" customHeight="1" x14ac:dyDescent="0.2">
      <c r="C40" s="552"/>
      <c r="D40" s="792"/>
      <c r="E40" s="793"/>
      <c r="F40" s="793"/>
      <c r="G40" s="793"/>
      <c r="H40" s="793"/>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3"/>
      <c r="AI40" s="793"/>
      <c r="AJ40" s="793"/>
      <c r="AK40" s="793"/>
      <c r="AL40" s="793"/>
      <c r="AM40" s="793"/>
      <c r="AN40" s="793"/>
      <c r="AO40" s="793"/>
      <c r="AP40" s="793"/>
      <c r="AQ40" s="793"/>
      <c r="AR40" s="793"/>
      <c r="AS40" s="793"/>
      <c r="AT40" s="793"/>
      <c r="AU40" s="793"/>
      <c r="AV40" s="793"/>
      <c r="AW40" s="794"/>
    </row>
    <row r="41" spans="1:100" ht="18" customHeight="1" x14ac:dyDescent="0.2">
      <c r="C41" s="552"/>
      <c r="D41" s="792"/>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793"/>
      <c r="AM41" s="793"/>
      <c r="AN41" s="793"/>
      <c r="AO41" s="793"/>
      <c r="AP41" s="793"/>
      <c r="AQ41" s="793"/>
      <c r="AR41" s="793"/>
      <c r="AS41" s="793"/>
      <c r="AT41" s="793"/>
      <c r="AU41" s="793"/>
      <c r="AV41" s="793"/>
      <c r="AW41" s="794"/>
    </row>
    <row r="42" spans="1:100" ht="18" customHeight="1" x14ac:dyDescent="0.2">
      <c r="C42" s="559"/>
      <c r="D42" s="792"/>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4"/>
    </row>
    <row r="43" spans="1:100" ht="18" customHeight="1" x14ac:dyDescent="0.2">
      <c r="C43" s="557"/>
      <c r="D43" s="799"/>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800"/>
      <c r="AN43" s="800"/>
      <c r="AO43" s="800"/>
      <c r="AP43" s="800"/>
      <c r="AQ43" s="800"/>
      <c r="AR43" s="800"/>
      <c r="AS43" s="800"/>
      <c r="AT43" s="800"/>
      <c r="AU43" s="800"/>
      <c r="AV43" s="800"/>
      <c r="AW43" s="801"/>
    </row>
    <row r="44" spans="1:100" s="297" customFormat="1" ht="10.5" customHeight="1" x14ac:dyDescent="0.2">
      <c r="A44" s="478"/>
      <c r="B44" s="420"/>
      <c r="C44" s="438"/>
      <c r="D44" s="438"/>
      <c r="E44" s="204"/>
      <c r="F44" s="335"/>
      <c r="G44" s="335"/>
      <c r="H44" s="232"/>
      <c r="I44" s="233"/>
      <c r="J44" s="233"/>
      <c r="K44" s="233"/>
      <c r="L44" s="233"/>
      <c r="M44" s="233"/>
      <c r="N44" s="233"/>
      <c r="O44" s="233"/>
      <c r="P44" s="234"/>
      <c r="Q44" s="233"/>
      <c r="R44" s="234"/>
      <c r="S44" s="233"/>
      <c r="T44" s="234"/>
      <c r="U44" s="233"/>
      <c r="V44" s="234"/>
      <c r="W44" s="233"/>
      <c r="X44" s="232"/>
      <c r="Y44" s="233"/>
      <c r="Z44" s="232"/>
      <c r="AA44" s="233"/>
      <c r="AB44" s="232"/>
      <c r="AC44" s="233"/>
      <c r="AD44" s="232"/>
      <c r="AE44" s="233"/>
      <c r="AF44" s="232"/>
      <c r="AG44" s="479"/>
      <c r="AH44" s="232"/>
      <c r="AI44" s="233"/>
      <c r="AJ44" s="234"/>
      <c r="AK44" s="233"/>
      <c r="AL44" s="232"/>
      <c r="AM44" s="233"/>
      <c r="AN44" s="232"/>
      <c r="AO44" s="359"/>
      <c r="AP44" s="359"/>
      <c r="AQ44" s="359"/>
      <c r="AR44" s="359"/>
      <c r="AS44" s="359"/>
      <c r="AT44" s="354"/>
      <c r="AU44" s="359"/>
      <c r="AV44" s="359"/>
      <c r="AW44" s="359"/>
      <c r="AY44" s="439"/>
      <c r="AZ44" s="439"/>
      <c r="BA44" s="439"/>
      <c r="BB44" s="439"/>
      <c r="BC44" s="439"/>
      <c r="BD44" s="439"/>
      <c r="BE44" s="439"/>
      <c r="BF44" s="439"/>
      <c r="BG44" s="439"/>
      <c r="BH44" s="439"/>
      <c r="BI44" s="439"/>
      <c r="BJ44" s="439"/>
      <c r="BK44" s="439"/>
      <c r="BL44" s="439"/>
      <c r="BM44" s="439"/>
      <c r="BN44" s="439"/>
      <c r="BO44" s="439"/>
      <c r="BP44" s="439"/>
      <c r="BQ44" s="439"/>
      <c r="BR44" s="439"/>
      <c r="BS44" s="439"/>
      <c r="BT44" s="439"/>
      <c r="BU44" s="439"/>
      <c r="BV44" s="439"/>
      <c r="BW44" s="439"/>
      <c r="BX44" s="439"/>
      <c r="BY44" s="439"/>
      <c r="BZ44" s="439"/>
      <c r="CA44" s="439"/>
      <c r="CB44" s="439"/>
      <c r="CC44" s="439"/>
      <c r="CD44" s="439"/>
      <c r="CE44" s="439"/>
      <c r="CF44" s="439"/>
      <c r="CG44" s="439"/>
      <c r="CH44" s="439"/>
      <c r="CI44" s="439"/>
      <c r="CJ44" s="439"/>
      <c r="CK44" s="439"/>
      <c r="CL44" s="439"/>
      <c r="CM44" s="439"/>
      <c r="CN44" s="439"/>
      <c r="CO44" s="439"/>
      <c r="CP44" s="439"/>
      <c r="CQ44" s="439"/>
      <c r="CR44" s="439"/>
      <c r="CS44" s="439"/>
      <c r="CT44" s="439"/>
      <c r="CU44" s="439"/>
      <c r="CV44" s="439"/>
    </row>
    <row r="45" spans="1:100" x14ac:dyDescent="0.2">
      <c r="C45" s="228"/>
      <c r="D45" s="228"/>
      <c r="F45" s="335"/>
      <c r="G45" s="335"/>
    </row>
    <row r="46" spans="1:100" x14ac:dyDescent="0.2">
      <c r="C46" s="228"/>
      <c r="D46" s="228"/>
    </row>
    <row r="47" spans="1:100" x14ac:dyDescent="0.2">
      <c r="C47" s="228"/>
      <c r="D47" s="228"/>
    </row>
    <row r="48" spans="1:100" x14ac:dyDescent="0.2">
      <c r="C48" s="228"/>
      <c r="D48" s="228"/>
    </row>
    <row r="49" spans="3:4" x14ac:dyDescent="0.2">
      <c r="C49" s="228"/>
      <c r="D49" s="228"/>
    </row>
    <row r="50" spans="3:4" x14ac:dyDescent="0.2">
      <c r="C50" s="228"/>
      <c r="D50" s="228"/>
    </row>
    <row r="51" spans="3:4" x14ac:dyDescent="0.2">
      <c r="C51" s="228"/>
      <c r="D51" s="228"/>
    </row>
    <row r="52" spans="3:4" x14ac:dyDescent="0.2">
      <c r="C52" s="228"/>
      <c r="D52" s="228"/>
    </row>
    <row r="53" spans="3:4" x14ac:dyDescent="0.2">
      <c r="C53" s="228"/>
      <c r="D53" s="228"/>
    </row>
    <row r="54" spans="3:4" x14ac:dyDescent="0.2">
      <c r="C54" s="228"/>
      <c r="D54" s="228"/>
    </row>
    <row r="55" spans="3:4" x14ac:dyDescent="0.2">
      <c r="C55" s="228"/>
      <c r="D55" s="228"/>
    </row>
    <row r="56" spans="3:4" x14ac:dyDescent="0.2">
      <c r="C56" s="228"/>
      <c r="D56" s="228"/>
    </row>
    <row r="57" spans="3:4" x14ac:dyDescent="0.2">
      <c r="C57" s="228"/>
      <c r="D57" s="228"/>
    </row>
    <row r="58" spans="3:4" x14ac:dyDescent="0.2">
      <c r="C58" s="228"/>
      <c r="D58" s="228"/>
    </row>
    <row r="59" spans="3:4" x14ac:dyDescent="0.2">
      <c r="C59" s="228"/>
      <c r="D59" s="228"/>
    </row>
    <row r="60" spans="3:4" x14ac:dyDescent="0.2">
      <c r="C60" s="228"/>
      <c r="D60" s="228"/>
    </row>
    <row r="61" spans="3:4" x14ac:dyDescent="0.2">
      <c r="C61" s="228"/>
      <c r="D61" s="228"/>
    </row>
    <row r="62" spans="3:4" x14ac:dyDescent="0.2">
      <c r="C62" s="228"/>
      <c r="D62" s="228"/>
    </row>
    <row r="63" spans="3:4" x14ac:dyDescent="0.2">
      <c r="C63" s="228"/>
      <c r="D63" s="228"/>
    </row>
    <row r="64" spans="3:4" x14ac:dyDescent="0.2">
      <c r="C64" s="228"/>
      <c r="D64" s="228"/>
    </row>
    <row r="65" spans="3:4" x14ac:dyDescent="0.2">
      <c r="C65" s="228"/>
      <c r="D65" s="228"/>
    </row>
    <row r="66" spans="3:4" x14ac:dyDescent="0.2">
      <c r="C66" s="228"/>
      <c r="D66" s="228"/>
    </row>
    <row r="67" spans="3:4" x14ac:dyDescent="0.2">
      <c r="C67" s="228"/>
      <c r="D67" s="228"/>
    </row>
    <row r="68" spans="3:4" x14ac:dyDescent="0.2">
      <c r="C68" s="228"/>
      <c r="D68" s="228"/>
    </row>
    <row r="69" spans="3:4" x14ac:dyDescent="0.2">
      <c r="C69" s="228"/>
      <c r="D69" s="228"/>
    </row>
    <row r="70" spans="3:4" x14ac:dyDescent="0.2">
      <c r="C70" s="228"/>
      <c r="D70" s="228"/>
    </row>
    <row r="71" spans="3:4" x14ac:dyDescent="0.2">
      <c r="C71" s="228"/>
      <c r="D71" s="228"/>
    </row>
    <row r="72" spans="3:4" x14ac:dyDescent="0.2">
      <c r="C72" s="228"/>
      <c r="D72" s="228"/>
    </row>
    <row r="73" spans="3:4" x14ac:dyDescent="0.2">
      <c r="C73" s="228"/>
      <c r="D73" s="228"/>
    </row>
  </sheetData>
  <sheetProtection sheet="1" objects="1" scenarios="1" formatCells="0" formatColumns="0" formatRows="0" insertColumns="0"/>
  <mergeCells count="27">
    <mergeCell ref="D26:AW26"/>
    <mergeCell ref="D40:AW40"/>
    <mergeCell ref="D41:AW41"/>
    <mergeCell ref="D42:AW42"/>
    <mergeCell ref="D43:AW43"/>
    <mergeCell ref="D33:AW33"/>
    <mergeCell ref="D34:AW34"/>
    <mergeCell ref="D35:AW35"/>
    <mergeCell ref="D36:AW36"/>
    <mergeCell ref="D37:AW37"/>
    <mergeCell ref="D38:AW38"/>
    <mergeCell ref="C5:AN5"/>
    <mergeCell ref="D15:AX15"/>
    <mergeCell ref="D17:AX17"/>
    <mergeCell ref="D16:AX16"/>
    <mergeCell ref="D39:AW39"/>
    <mergeCell ref="D29:AW29"/>
    <mergeCell ref="D30:AW30"/>
    <mergeCell ref="D31:AW31"/>
    <mergeCell ref="D32:AW32"/>
    <mergeCell ref="D27:AW27"/>
    <mergeCell ref="D28:AW28"/>
    <mergeCell ref="D21:AW21"/>
    <mergeCell ref="D22:AW22"/>
    <mergeCell ref="D23:AW23"/>
    <mergeCell ref="D24:AW24"/>
    <mergeCell ref="D25:AW25"/>
  </mergeCells>
  <phoneticPr fontId="10" type="noConversion"/>
  <conditionalFormatting sqref="F12">
    <cfRule type="cellIs" dxfId="48" priority="68" stopIfTrue="1" operator="greaterThan">
      <formula>100-F9-F11+0.1</formula>
    </cfRule>
  </conditionalFormatting>
  <conditionalFormatting sqref="H12">
    <cfRule type="cellIs" dxfId="47" priority="67" stopIfTrue="1" operator="greaterThan">
      <formula>100-H9-H11+0.1</formula>
    </cfRule>
  </conditionalFormatting>
  <conditionalFormatting sqref="J12">
    <cfRule type="cellIs" dxfId="46" priority="66" stopIfTrue="1" operator="greaterThan">
      <formula>100-J9-J11+0.1</formula>
    </cfRule>
  </conditionalFormatting>
  <conditionalFormatting sqref="L12">
    <cfRule type="cellIs" dxfId="45" priority="65" stopIfTrue="1" operator="greaterThan">
      <formula>100-L9-L11+0.1</formula>
    </cfRule>
  </conditionalFormatting>
  <conditionalFormatting sqref="N12">
    <cfRule type="cellIs" dxfId="44" priority="64" stopIfTrue="1" operator="greaterThan">
      <formula>100-N9-N11+0.1</formula>
    </cfRule>
  </conditionalFormatting>
  <conditionalFormatting sqref="P12">
    <cfRule type="cellIs" dxfId="43" priority="63" stopIfTrue="1" operator="greaterThan">
      <formula>100-P9-P11+0.1</formula>
    </cfRule>
  </conditionalFormatting>
  <conditionalFormatting sqref="R12">
    <cfRule type="cellIs" dxfId="42" priority="62" stopIfTrue="1" operator="greaterThan">
      <formula>100-R9-R11+0.1</formula>
    </cfRule>
  </conditionalFormatting>
  <conditionalFormatting sqref="T12">
    <cfRule type="cellIs" dxfId="41" priority="61" stopIfTrue="1" operator="greaterThan">
      <formula>100-T9-T11+0.1</formula>
    </cfRule>
  </conditionalFormatting>
  <conditionalFormatting sqref="V12">
    <cfRule type="cellIs" dxfId="40" priority="60" stopIfTrue="1" operator="greaterThan">
      <formula>100-V9-V11+0.1</formula>
    </cfRule>
  </conditionalFormatting>
  <conditionalFormatting sqref="X12">
    <cfRule type="cellIs" dxfId="39" priority="59" stopIfTrue="1" operator="greaterThan">
      <formula>100-X9-X11+0.1</formula>
    </cfRule>
  </conditionalFormatting>
  <conditionalFormatting sqref="Z12">
    <cfRule type="cellIs" dxfId="38" priority="58" stopIfTrue="1" operator="greaterThan">
      <formula>100-Z9-Z11+0.1</formula>
    </cfRule>
  </conditionalFormatting>
  <conditionalFormatting sqref="AB12">
    <cfRule type="cellIs" dxfId="37" priority="57" stopIfTrue="1" operator="greaterThan">
      <formula>100-AB9-AB11+0.1</formula>
    </cfRule>
  </conditionalFormatting>
  <conditionalFormatting sqref="AD12">
    <cfRule type="cellIs" dxfId="36" priority="56" stopIfTrue="1" operator="greaterThan">
      <formula>100-AD9-AD11+0.1</formula>
    </cfRule>
  </conditionalFormatting>
  <conditionalFormatting sqref="AF12">
    <cfRule type="cellIs" dxfId="35" priority="55" stopIfTrue="1" operator="greaterThan">
      <formula>100-AF9-AF11+0.1</formula>
    </cfRule>
  </conditionalFormatting>
  <conditionalFormatting sqref="AH12">
    <cfRule type="cellIs" dxfId="34" priority="54" stopIfTrue="1" operator="greaterThan">
      <formula>100-AH9-AH11+0.1</formula>
    </cfRule>
  </conditionalFormatting>
  <conditionalFormatting sqref="AJ12">
    <cfRule type="cellIs" dxfId="33" priority="53" stopIfTrue="1" operator="greaterThan">
      <formula>100-AJ9-AJ11+0.1</formula>
    </cfRule>
  </conditionalFormatting>
  <conditionalFormatting sqref="AL12">
    <cfRule type="cellIs" dxfId="32" priority="52" stopIfTrue="1" operator="greaterThan">
      <formula>100-AL9-AL11+0.1</formula>
    </cfRule>
  </conditionalFormatting>
  <conditionalFormatting sqref="AN12">
    <cfRule type="cellIs" dxfId="31" priority="51" stopIfTrue="1" operator="greaterThan">
      <formula>100-AN9-AN11+0.1</formula>
    </cfRule>
  </conditionalFormatting>
  <conditionalFormatting sqref="AP12">
    <cfRule type="cellIs" dxfId="30" priority="50" stopIfTrue="1" operator="greaterThan">
      <formula>100-AP9-AP11+0.1</formula>
    </cfRule>
  </conditionalFormatting>
  <conditionalFormatting sqref="AR12">
    <cfRule type="cellIs" dxfId="29" priority="49" stopIfTrue="1" operator="greaterThan">
      <formula>100-AR9-AR11+0.1</formula>
    </cfRule>
  </conditionalFormatting>
  <conditionalFormatting sqref="AT12">
    <cfRule type="cellIs" dxfId="28" priority="48" stopIfTrue="1" operator="greaterThan">
      <formula>100-AT9-AT11+0.1</formula>
    </cfRule>
  </conditionalFormatting>
  <conditionalFormatting sqref="AV12">
    <cfRule type="cellIs" dxfId="27" priority="46" stopIfTrue="1" operator="greaterThan">
      <formula>100-AV9-AV11+0.1</formula>
    </cfRule>
  </conditionalFormatting>
  <conditionalFormatting sqref="J12">
    <cfRule type="cellIs" dxfId="26" priority="40" stopIfTrue="1" operator="greaterThan">
      <formula>100-J9-J11+0.1</formula>
    </cfRule>
  </conditionalFormatting>
  <conditionalFormatting sqref="L12">
    <cfRule type="cellIs" dxfId="25" priority="39" stopIfTrue="1" operator="greaterThan">
      <formula>100-L9-L11+0.1</formula>
    </cfRule>
  </conditionalFormatting>
  <conditionalFormatting sqref="N12">
    <cfRule type="cellIs" dxfId="24" priority="38" stopIfTrue="1" operator="greaterThan">
      <formula>100-N9-N11+0.1</formula>
    </cfRule>
  </conditionalFormatting>
  <conditionalFormatting sqref="P12">
    <cfRule type="cellIs" dxfId="23" priority="37" stopIfTrue="1" operator="greaterThan">
      <formula>100-P9-P11+0.1</formula>
    </cfRule>
  </conditionalFormatting>
  <conditionalFormatting sqref="R12">
    <cfRule type="cellIs" dxfId="22" priority="36" stopIfTrue="1" operator="greaterThan">
      <formula>100-R9-R11+0.1</formula>
    </cfRule>
  </conditionalFormatting>
  <conditionalFormatting sqref="T12">
    <cfRule type="cellIs" dxfId="21" priority="35" stopIfTrue="1" operator="greaterThan">
      <formula>100-T9-T11+0.1</formula>
    </cfRule>
  </conditionalFormatting>
  <conditionalFormatting sqref="V12">
    <cfRule type="cellIs" dxfId="20" priority="34" stopIfTrue="1" operator="greaterThan">
      <formula>100-V9-V11+0.1</formula>
    </cfRule>
  </conditionalFormatting>
  <conditionalFormatting sqref="X12">
    <cfRule type="cellIs" dxfId="19" priority="33" stopIfTrue="1" operator="greaterThan">
      <formula>100-X9-X11+0.1</formula>
    </cfRule>
  </conditionalFormatting>
  <conditionalFormatting sqref="Z12">
    <cfRule type="cellIs" dxfId="18" priority="32" stopIfTrue="1" operator="greaterThan">
      <formula>100-Z9-Z11+0.1</formula>
    </cfRule>
  </conditionalFormatting>
  <conditionalFormatting sqref="AB12">
    <cfRule type="cellIs" dxfId="17" priority="31" stopIfTrue="1" operator="greaterThan">
      <formula>100-AB9-AB11+0.1</formula>
    </cfRule>
  </conditionalFormatting>
  <conditionalFormatting sqref="AD12">
    <cfRule type="cellIs" dxfId="16" priority="30" stopIfTrue="1" operator="greaterThan">
      <formula>100-AD9-AD11+0.1</formula>
    </cfRule>
  </conditionalFormatting>
  <conditionalFormatting sqref="AF12">
    <cfRule type="cellIs" dxfId="15" priority="29" stopIfTrue="1" operator="greaterThan">
      <formula>100-AF9-AF11+0.1</formula>
    </cfRule>
  </conditionalFormatting>
  <conditionalFormatting sqref="AH12">
    <cfRule type="cellIs" dxfId="14" priority="28" stopIfTrue="1" operator="greaterThan">
      <formula>100-AH9-AH11+0.1</formula>
    </cfRule>
  </conditionalFormatting>
  <conditionalFormatting sqref="AJ12">
    <cfRule type="cellIs" dxfId="13" priority="27" stopIfTrue="1" operator="greaterThan">
      <formula>100-AJ9-AJ11+0.1</formula>
    </cfRule>
  </conditionalFormatting>
  <conditionalFormatting sqref="AL12">
    <cfRule type="cellIs" dxfId="12" priority="26" stopIfTrue="1" operator="greaterThan">
      <formula>100-AL9-AL11+0.1</formula>
    </cfRule>
  </conditionalFormatting>
  <conditionalFormatting sqref="AR12">
    <cfRule type="cellIs" dxfId="11" priority="25" stopIfTrue="1" operator="greaterThan">
      <formula>100-AR9-AR11+0.1</formula>
    </cfRule>
  </conditionalFormatting>
  <conditionalFormatting sqref="AN12">
    <cfRule type="cellIs" dxfId="10" priority="24" stopIfTrue="1" operator="greaterThan">
      <formula>100-AN9-AN11+0.1</formula>
    </cfRule>
  </conditionalFormatting>
  <conditionalFormatting sqref="AP12">
    <cfRule type="cellIs" dxfId="9" priority="23" stopIfTrue="1" operator="greaterThan">
      <formula>100-AP9-AP11+0.1</formula>
    </cfRule>
  </conditionalFormatting>
  <conditionalFormatting sqref="BV20 CJ20 CL20 BB20 CV20 CN20 CP20 BP20 BN20 BL20 BJ20 BZ20 CB20 CD20 BX20 BT20 BR20 CF20 CH20">
    <cfRule type="cellIs" dxfId="8" priority="7" stopIfTrue="1" operator="lessThan">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dxfId="7" priority="8" stopIfTrue="1" operator="equal">
      <formula>"&lt;&gt;"</formula>
    </cfRule>
  </conditionalFormatting>
  <conditionalFormatting sqref="CP8:CP12 CN8:CN12 CL8:CL12 CJ8:CJ12 BD8:BD11 CV8:CV12 BH8:BH12 BJ8:BJ12 BL8:BL12 BN8:BN12 CH8:CH12 CF8:CF12 CD8:CD12 CB8:CB12 BZ8:BZ12 BX8:BX12 BV8:BV12 BT8:BT12 BP8:BP12 BR8:BR12 BF8:BF12">
    <cfRule type="cellIs" dxfId="6" priority="9" stopIfTrue="1" operator="equal">
      <formula>"&gt; 25%"</formula>
    </cfRule>
  </conditionalFormatting>
  <conditionalFormatting sqref="CR20 CT20">
    <cfRule type="cellIs" dxfId="5" priority="4" stopIfTrue="1" operator="lessThan">
      <formula>CR21</formula>
    </cfRule>
  </conditionalFormatting>
  <conditionalFormatting sqref="CT18 CT23 CT21 CR18 CR21 CR23">
    <cfRule type="cellIs" dxfId="4" priority="5" stopIfTrue="1" operator="equal">
      <formula>"&lt;&gt;"</formula>
    </cfRule>
  </conditionalFormatting>
  <conditionalFormatting sqref="CT8:CT12 CR8:CR12">
    <cfRule type="cellIs" dxfId="3" priority="6" stopIfTrue="1" operator="equal">
      <formula>"&gt; 25%"</formula>
    </cfRule>
  </conditionalFormatting>
  <conditionalFormatting sqref="CJ8:CJ12">
    <cfRule type="cellIs" dxfId="2" priority="3" stopIfTrue="1" operator="equal">
      <formula>"&gt; 25%"</formula>
    </cfRule>
  </conditionalFormatting>
  <conditionalFormatting sqref="CJ20">
    <cfRule type="cellIs" dxfId="1" priority="1" stopIfTrue="1" operator="lessThan">
      <formula>CJ21</formula>
    </cfRule>
  </conditionalFormatting>
  <conditionalFormatting sqref="CJ18 CJ21 CJ23">
    <cfRule type="cellIs" dxfId="0" priority="2" stopIfTrue="1" operator="equal">
      <formula>"&lt;&gt;"</formula>
    </cfRule>
  </conditionalFormatting>
  <printOptions horizontalCentered="1"/>
  <pageMargins left="0.5" right="0.5" top="0.75" bottom="0.75" header="0.5" footer="0.5"/>
  <pageSetup paperSize="9" scale="55" firstPageNumber="23" fitToHeight="0" orientation="landscape"/>
  <headerFooter alignWithMargins="0">
    <oddFooter>&amp;C&amp;"Arial,Regular"UNSD/Programa de las Naciones Unidas para el Medio Ambiente Cuestionario 2018 Estadisticas Ambientales -  Sección del Agua -  &amp;P</oddFooter>
  </headerFooter>
  <rowBreaks count="1" manualBreakCount="1">
    <brk id="17" min="2" max="44" man="1"/>
  </rowBreak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13" ma:contentTypeDescription="Create a new document." ma:contentTypeScope="" ma:versionID="21a4ca91bbbd88d211b5fac87d9a2773">
  <xsd:schema xmlns:xsd="http://www.w3.org/2001/XMLSchema" xmlns:xs="http://www.w3.org/2001/XMLSchema" xmlns:p="http://schemas.microsoft.com/office/2006/metadata/properties" xmlns:ns2="80b4fa15-76ba-48c8-b961-b781e21574d2" xmlns:ns3="d0274a15-5367-45e1-987a-873acbd8baaa" targetNamespace="http://schemas.microsoft.com/office/2006/metadata/properties" ma:root="true" ma:fieldsID="242afd3b7eb3deea6f3c1f2aea01afe8" ns2:_="" ns3:_="">
    <xsd:import namespace="80b4fa15-76ba-48c8-b961-b781e21574d2"/>
    <xsd:import namespace="d0274a15-5367-45e1-987a-873acbd8ba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80b4fa15-76ba-48c8-b961-b781e21574d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CF6E8F-C9C1-4992-A35F-36E5330DEAC9}"/>
</file>

<file path=customXml/itemProps2.xml><?xml version="1.0" encoding="utf-8"?>
<ds:datastoreItem xmlns:ds="http://schemas.openxmlformats.org/officeDocument/2006/customXml" ds:itemID="{2F9609E3-A308-4A90-970E-A1F52FF6C5B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cb8b86e-feab-4732-935b-f2e615392364"/>
    <ds:schemaRef ds:uri="http://www.w3.org/XML/1998/namespace"/>
    <ds:schemaRef ds:uri="http://purl.org/dc/dcmitype/"/>
  </ds:schemaRefs>
</ds:datastoreItem>
</file>

<file path=customXml/itemProps3.xml><?xml version="1.0" encoding="utf-8"?>
<ds:datastoreItem xmlns:ds="http://schemas.openxmlformats.org/officeDocument/2006/customXml" ds:itemID="{B24003B6-3EDC-4C43-B9AB-31E97B4246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65</vt:i4>
      </vt:variant>
    </vt:vector>
  </HeadingPairs>
  <TitlesOfParts>
    <vt:vector size="75" baseType="lpstr">
      <vt:lpstr>Índice</vt:lpstr>
      <vt:lpstr>Guía</vt:lpstr>
      <vt:lpstr>Definiciones</vt:lpstr>
      <vt:lpstr>Diagram</vt:lpstr>
      <vt:lpstr>W1</vt:lpstr>
      <vt:lpstr>W2</vt:lpstr>
      <vt:lpstr>W3</vt:lpstr>
      <vt:lpstr>W4</vt:lpstr>
      <vt:lpstr>W5</vt:lpstr>
      <vt:lpstr>W6</vt:lpstr>
      <vt:lpstr>'W1'!CountryID</vt:lpstr>
      <vt:lpstr>'W2'!CountryID</vt:lpstr>
      <vt:lpstr>'W3'!CountryID</vt:lpstr>
      <vt:lpstr>'W4'!CountryID</vt:lpstr>
      <vt:lpstr>'W5'!CountryID</vt:lpstr>
      <vt:lpstr>'W6'!CountryID</vt:lpstr>
      <vt:lpstr>'W1'!CountryName</vt:lpstr>
      <vt:lpstr>'W2'!CountryName</vt:lpstr>
      <vt:lpstr>'W3'!CountryName</vt:lpstr>
      <vt:lpstr>'W4'!CountryName</vt:lpstr>
      <vt:lpstr>'W5'!CountryName</vt:lpstr>
      <vt:lpstr>'W6'!CountryName</vt:lpstr>
      <vt:lpstr>'W1'!Data</vt:lpstr>
      <vt:lpstr>'W2'!Data</vt:lpstr>
      <vt:lpstr>'W3'!Data</vt:lpstr>
      <vt:lpstr>'W4'!Data</vt:lpstr>
      <vt:lpstr>'W5'!Data</vt:lpstr>
      <vt:lpstr>'W1'!Foot</vt:lpstr>
      <vt:lpstr>'W2'!Foot</vt:lpstr>
      <vt:lpstr>'W3'!Foot</vt:lpstr>
      <vt:lpstr>'W4'!Foot</vt:lpstr>
      <vt:lpstr>'W5'!Foot</vt:lpstr>
      <vt:lpstr>'W1'!FootLng</vt:lpstr>
      <vt:lpstr>'W2'!FootLng</vt:lpstr>
      <vt:lpstr>'W3'!FootLng</vt:lpstr>
      <vt:lpstr>'W4'!FootLng</vt:lpstr>
      <vt:lpstr>'W5'!FootLng</vt:lpstr>
      <vt:lpstr>'W1'!Inc</vt:lpstr>
      <vt:lpstr>'W2'!Inc</vt:lpstr>
      <vt:lpstr>'W3'!Inc</vt:lpstr>
      <vt:lpstr>'W4'!Inc</vt:lpstr>
      <vt:lpstr>'W5'!Inc</vt:lpstr>
      <vt:lpstr>'W1'!Ind</vt:lpstr>
      <vt:lpstr>'W2'!Ind</vt:lpstr>
      <vt:lpstr>'W3'!Ind</vt:lpstr>
      <vt:lpstr>'W4'!Ind</vt:lpstr>
      <vt:lpstr>'W5'!Ind</vt:lpstr>
      <vt:lpstr>Definiciones!Print_Area</vt:lpstr>
      <vt:lpstr>Diagram!Print_Area</vt:lpstr>
      <vt:lpstr>Guía!Print_Area</vt:lpstr>
      <vt:lpstr>Índice!Print_Area</vt:lpstr>
      <vt:lpstr>'W1'!Print_Area</vt:lpstr>
      <vt:lpstr>'W2'!Print_Area</vt:lpstr>
      <vt:lpstr>'W3'!Print_Area</vt:lpstr>
      <vt:lpstr>'W4'!Print_Area</vt:lpstr>
      <vt:lpstr>'W5'!Print_Area</vt:lpstr>
      <vt:lpstr>'W6'!Print_Area</vt:lpstr>
      <vt:lpstr>Definiciones!Print_Titles</vt:lpstr>
      <vt:lpstr>Diagram!Print_Titles</vt:lpstr>
      <vt:lpstr>Guía!Print_Titles</vt:lpstr>
      <vt:lpstr>'W1'!Print_Titles</vt:lpstr>
      <vt:lpstr>'W2'!Print_Titles</vt:lpstr>
      <vt:lpstr>'W3'!Print_Titles</vt:lpstr>
      <vt:lpstr>'W4'!Print_Titles</vt:lpstr>
      <vt:lpstr>'W5'!Print_Titles</vt:lpstr>
      <vt:lpstr>'W1'!Type</vt:lpstr>
      <vt:lpstr>'W2'!Type</vt:lpstr>
      <vt:lpstr>'W3'!Type</vt:lpstr>
      <vt:lpstr>'W4'!Type</vt:lpstr>
      <vt:lpstr>'W5'!Type</vt:lpstr>
      <vt:lpstr>'W1'!VarsID</vt:lpstr>
      <vt:lpstr>'W2'!VarsID</vt:lpstr>
      <vt:lpstr>'W3'!VarsID</vt:lpstr>
      <vt:lpstr>'W4'!VarsID</vt:lpstr>
      <vt:lpstr>'W5'!VarsID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Tilak Perera</dc:creator>
  <cp:lastModifiedBy>Robin Carrington</cp:lastModifiedBy>
  <cp:lastPrinted>2018-07-26T20:08:07Z</cp:lastPrinted>
  <dcterms:created xsi:type="dcterms:W3CDTF">2001-01-18T18:38:40Z</dcterms:created>
  <dcterms:modified xsi:type="dcterms:W3CDTF">2021-05-07T20:53:58Z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ContentTypeId">
    <vt:lpwstr>0x010100B51BF2F834EA4346881D152C2A068B67</vt:lpwstr>
  </property>
</Properties>
</file>